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Budget" sheetId="1" r:id="rId1"/>
    <sheet name="Payroll Calculations" sheetId="4" r:id="rId2"/>
    <sheet name="Justification" sheetId="6" r:id="rId3"/>
    <sheet name="Safer Grant Info" sheetId="7" r:id="rId4"/>
    <sheet name="Sheet1" sheetId="5" r:id="rId5"/>
  </sheets>
  <definedNames>
    <definedName name="_xlnm.Print_Area" localSheetId="0">Budget!$A$1:$Z$210</definedName>
    <definedName name="_xlnm.Print_Area" localSheetId="1">'Payroll Calculations'!$A$1:$O$21</definedName>
    <definedName name="_xlnm.Print_Titles" localSheetId="0">Budget!$A:$C,Budget!$1:$2</definedName>
    <definedName name="_xlnm.Print_Titles" localSheetId="2">Justification!$A:$C,Justification!$1:$2</definedName>
    <definedName name="_xlnm.Print_Titles" localSheetId="3">'Safer Grant Info'!#REF!,'Safer Grant Info'!$1:$2</definedName>
    <definedName name="QB_COLUMN_1" localSheetId="0" hidden="1">Budget!#REF!</definedName>
    <definedName name="QB_COLUMN_1" localSheetId="2" hidden="1">Justification!#REF!</definedName>
    <definedName name="QB_COLUMN_1" localSheetId="3" hidden="1">'Safer Grant Info'!#REF!</definedName>
    <definedName name="QB_COLUMN_126" localSheetId="0" hidden="1">Budget!#REF!</definedName>
    <definedName name="QB_COLUMN_126" localSheetId="2" hidden="1">Justification!#REF!</definedName>
    <definedName name="QB_COLUMN_126" localSheetId="3" hidden="1">'Safer Grant Info'!#REF!</definedName>
    <definedName name="QB_COLUMN_19" localSheetId="0" hidden="1">Budget!#REF!</definedName>
    <definedName name="QB_COLUMN_19" localSheetId="2" hidden="1">Justification!#REF!</definedName>
    <definedName name="QB_COLUMN_19" localSheetId="3" hidden="1">'Safer Grant Info'!#REF!</definedName>
    <definedName name="QB_COLUMN_20" localSheetId="0" hidden="1">Budget!#REF!</definedName>
    <definedName name="QB_COLUMN_20" localSheetId="2" hidden="1">Justification!#REF!</definedName>
    <definedName name="QB_COLUMN_20" localSheetId="3" hidden="1">'Safer Grant Info'!#REF!</definedName>
    <definedName name="QB_COLUMN_28" localSheetId="0" hidden="1">Budget!#REF!</definedName>
    <definedName name="QB_COLUMN_28" localSheetId="2" hidden="1">Justification!#REF!</definedName>
    <definedName name="QB_COLUMN_28" localSheetId="3" hidden="1">'Safer Grant Info'!#REF!</definedName>
    <definedName name="QB_COLUMN_29" localSheetId="0" hidden="1">Budget!#REF!</definedName>
    <definedName name="QB_COLUMN_29" localSheetId="2" hidden="1">Justification!#REF!</definedName>
    <definedName name="QB_COLUMN_29" localSheetId="3" hidden="1">'Safer Grant Info'!#REF!</definedName>
    <definedName name="QB_COLUMN_3" localSheetId="0" hidden="1">Budget!#REF!</definedName>
    <definedName name="QB_COLUMN_3" localSheetId="2" hidden="1">Justification!#REF!</definedName>
    <definedName name="QB_COLUMN_3" localSheetId="3" hidden="1">'Safer Grant Info'!#REF!</definedName>
    <definedName name="QB_COLUMN_31" localSheetId="0" hidden="1">Budget!#REF!</definedName>
    <definedName name="QB_COLUMN_31" localSheetId="2" hidden="1">Justification!#REF!</definedName>
    <definedName name="QB_COLUMN_31" localSheetId="3" hidden="1">'Safer Grant Info'!#REF!</definedName>
    <definedName name="QB_COLUMN_4" localSheetId="0" hidden="1">Budget!#REF!</definedName>
    <definedName name="QB_COLUMN_4" localSheetId="2" hidden="1">Justification!#REF!</definedName>
    <definedName name="QB_COLUMN_4" localSheetId="3" hidden="1">'Safer Grant Info'!#REF!</definedName>
    <definedName name="QB_COLUMN_5" localSheetId="0" hidden="1">Budget!#REF!</definedName>
    <definedName name="QB_COLUMN_5" localSheetId="2" hidden="1">Justification!#REF!</definedName>
    <definedName name="QB_COLUMN_5" localSheetId="3" hidden="1">'Safer Grant Info'!#REF!</definedName>
    <definedName name="QB_COLUMN_7" localSheetId="0" hidden="1">Budget!#REF!</definedName>
    <definedName name="QB_COLUMN_7" localSheetId="2" hidden="1">Justification!#REF!</definedName>
    <definedName name="QB_COLUMN_7" localSheetId="3" hidden="1">'Safer Grant Info'!#REF!</definedName>
    <definedName name="QB_COLUMN_8" localSheetId="0" hidden="1">Budget!#REF!</definedName>
    <definedName name="QB_COLUMN_8" localSheetId="2" hidden="1">Justification!#REF!</definedName>
    <definedName name="QB_COLUMN_8" localSheetId="3" hidden="1">'Safer Grant Info'!#REF!</definedName>
    <definedName name="QB_DATA_0" localSheetId="0" hidden="1">Budget!#REF!,Budget!#REF!,Budget!#REF!,Budget!$27:$27,Budget!$30:$30,Budget!#REF!,Budget!#REF!,Budget!#REF!,Budget!#REF!,Budget!$45:$45,Budget!#REF!,Budget!#REF!,Budget!#REF!,Budget!#REF!,Budget!#REF!,Budget!$71:$71</definedName>
    <definedName name="QB_DATA_0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DATA_0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DATA_1" localSheetId="0" hidden="1">Budget!#REF!,Budget!#REF!,Budget!#REF!,Budget!$77:$77,Budget!#REF!,Budget!#REF!,Budget!#REF!,Budget!#REF!,Budget!$85:$85,Budget!$87:$87,Budget!#REF!,Budget!$103:$103,Budget!#REF!,Budget!#REF!,Budget!#REF!,Budget!#REF!</definedName>
    <definedName name="QB_DATA_1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DATA_1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DATA_2" localSheetId="0" hidden="1">Budget!#REF!,Budget!#REF!,Budget!#REF!,Budget!#REF!,Budget!$116:$116,Budget!$121:$121,Budget!#REF!,Budget!#REF!,Budget!#REF!,Budget!$137:$137,Budget!#REF!,Budget!$144:$144,Budget!#REF!,Budget!#REF!,Budget!#REF!,Budget!#REF!</definedName>
    <definedName name="QB_DATA_2" localSheetId="2" hidden="1">Justification!#REF!,Justification!#REF!,Justification!#REF!,Justification!#REF!,Justification!#REF!,Justification!#REF!,Justification!#REF!,Justification!#REF!,Justification!#REF!,Justification!#REF!,Justification!#REF!,Justification!$14:$14,Justification!#REF!,Justification!#REF!,Justification!#REF!,Justification!#REF!</definedName>
    <definedName name="QB_DATA_2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DATA_3" localSheetId="0" hidden="1">Budget!#REF!,Budget!$161:$161,Budget!#REF!,Budget!#REF!,Budget!#REF!,Budget!$169:$169,Budget!#REF!,Budget!#REF!,Budget!#REF!,Budget!$177:$177,Budget!#REF!,Budget!#REF!,Budget!#REF!,Budget!$180:$180,Budget!#REF!,Budget!#REF!</definedName>
    <definedName name="QB_DATA_3" localSheetId="2" hidden="1">Justification!#REF!,Justification!$17:$17,Justification!#REF!,Justification!#REF!,Justification!#REF!,Justification!$28:$28,Justification!#REF!,Justification!#REF!,Justification!#REF!,Justification!#REF!,Justification!#REF!,Justification!#REF!,Justification!#REF!,Justification!#REF!,Justification!#REF!,Justification!#REF!</definedName>
    <definedName name="QB_DATA_3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0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0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0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0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0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0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1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1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1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2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2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2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3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3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3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4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4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4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5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15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5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16" localSheetId="0" hidden="1">Budget!#REF!,Budget!#REF!,Budget!#REF!,Budget!#REF!,Budget!#REF!,Budget!#REF!,Budget!#REF!,Budget!#REF!,Budget!#REF!,Budget!#REF!,Budget!#REF!,Budget!#REF!,Budget!#REF!,Budget!#REF!</definedName>
    <definedName name="QB_FORMULA_16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16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2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2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2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3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3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3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4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4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4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5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5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5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6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6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6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7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7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7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8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8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8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FORMULA_9" localSheetId="0" hidden="1">Budget!#REF!,Budget!#REF!,Budget!#REF!,Budget!#REF!,Budget!#REF!,Budget!#REF!,Budget!#REF!,Budget!#REF!,Budget!#REF!,Budget!#REF!,Budget!#REF!,Budget!#REF!,Budget!#REF!,Budget!#REF!,Budget!#REF!,Budget!#REF!</definedName>
    <definedName name="QB_FORMULA_9" localSheetId="2" hidden="1">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,Justification!#REF!</definedName>
    <definedName name="QB_FORMULA_9" localSheetId="3" hidden="1">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Info'!#REF!,'Safer Grant Info'!#REF!</definedName>
    <definedName name="QB_ROW_100050" localSheetId="0" hidden="1">Budget!$C$190</definedName>
    <definedName name="QB_ROW_100050" localSheetId="2" hidden="1">Justification!#REF!</definedName>
    <definedName name="QB_ROW_100050" localSheetId="3" hidden="1">'Safer Grant Info'!#REF!</definedName>
    <definedName name="QB_ROW_100350" localSheetId="0" hidden="1">Budget!$C$199</definedName>
    <definedName name="QB_ROW_100350" localSheetId="2" hidden="1">Justification!#REF!</definedName>
    <definedName name="QB_ROW_100350" localSheetId="3" hidden="1">'Safer Grant Info'!#REF!</definedName>
    <definedName name="QB_ROW_10040" localSheetId="0" hidden="1">Budget!$C$129</definedName>
    <definedName name="QB_ROW_10040" localSheetId="2" hidden="1">Justification!#REF!</definedName>
    <definedName name="QB_ROW_10040" localSheetId="3" hidden="1">'Safer Grant Info'!#REF!</definedName>
    <definedName name="QB_ROW_10340" localSheetId="0" hidden="1">Budget!#REF!</definedName>
    <definedName name="QB_ROW_10340" localSheetId="2" hidden="1">Justification!#REF!</definedName>
    <definedName name="QB_ROW_10340" localSheetId="3" hidden="1">'Safer Grant Info'!#REF!</definedName>
    <definedName name="QB_ROW_104050" localSheetId="0" hidden="1">Budget!$C$136</definedName>
    <definedName name="QB_ROW_104050" localSheetId="2" hidden="1">Justification!#REF!</definedName>
    <definedName name="QB_ROW_104050" localSheetId="3" hidden="1">'Safer Grant Info'!#REF!</definedName>
    <definedName name="QB_ROW_104350" localSheetId="0" hidden="1">Budget!#REF!</definedName>
    <definedName name="QB_ROW_104350" localSheetId="2" hidden="1">Justification!#REF!</definedName>
    <definedName name="QB_ROW_104350" localSheetId="3" hidden="1">'Safer Grant Info'!#REF!</definedName>
    <definedName name="QB_ROW_106050" localSheetId="0" hidden="1">Budget!$C$141</definedName>
    <definedName name="QB_ROW_106050" localSheetId="2" hidden="1">Justification!#REF!</definedName>
    <definedName name="QB_ROW_106050" localSheetId="3" hidden="1">'Safer Grant Info'!#REF!</definedName>
    <definedName name="QB_ROW_106350" localSheetId="0" hidden="1">Budget!#REF!</definedName>
    <definedName name="QB_ROW_106350" localSheetId="2" hidden="1">Justification!#REF!</definedName>
    <definedName name="QB_ROW_106350" localSheetId="3" hidden="1">'Safer Grant Info'!#REF!</definedName>
    <definedName name="QB_ROW_107050" localSheetId="0" hidden="1">Budget!$C$142</definedName>
    <definedName name="QB_ROW_107050" localSheetId="2" hidden="1">Justification!$C$13</definedName>
    <definedName name="QB_ROW_107050" localSheetId="3" hidden="1">'Safer Grant Info'!#REF!</definedName>
    <definedName name="QB_ROW_107350" localSheetId="0" hidden="1">Budget!#REF!</definedName>
    <definedName name="QB_ROW_107350" localSheetId="2" hidden="1">Justification!#REF!</definedName>
    <definedName name="QB_ROW_107350" localSheetId="3" hidden="1">'Safer Grant Info'!#REF!</definedName>
    <definedName name="QB_ROW_109050" localSheetId="0" hidden="1">Budget!$C$149</definedName>
    <definedName name="QB_ROW_109050" localSheetId="2" hidden="1">Justification!#REF!</definedName>
    <definedName name="QB_ROW_109050" localSheetId="3" hidden="1">'Safer Grant Info'!#REF!</definedName>
    <definedName name="QB_ROW_109350" localSheetId="0" hidden="1">Budget!#REF!</definedName>
    <definedName name="QB_ROW_109350" localSheetId="2" hidden="1">Justification!#REF!</definedName>
    <definedName name="QB_ROW_109350" localSheetId="3" hidden="1">'Safer Grant Info'!#REF!</definedName>
    <definedName name="QB_ROW_110050" localSheetId="0" hidden="1">Budget!$C$150</definedName>
    <definedName name="QB_ROW_110050" localSheetId="2" hidden="1">Justification!#REF!</definedName>
    <definedName name="QB_ROW_110050" localSheetId="3" hidden="1">'Safer Grant Info'!#REF!</definedName>
    <definedName name="QB_ROW_110350" localSheetId="0" hidden="1">Budget!#REF!</definedName>
    <definedName name="QB_ROW_110350" localSheetId="2" hidden="1">Justification!#REF!</definedName>
    <definedName name="QB_ROW_110350" localSheetId="3" hidden="1">'Safer Grant Info'!#REF!</definedName>
    <definedName name="QB_ROW_111050" localSheetId="0" hidden="1">Budget!$C$151</definedName>
    <definedName name="QB_ROW_111050" localSheetId="2" hidden="1">Justification!$C$15</definedName>
    <definedName name="QB_ROW_111050" localSheetId="3" hidden="1">'Safer Grant Info'!#REF!</definedName>
    <definedName name="QB_ROW_111350" localSheetId="0" hidden="1">Budget!#REF!</definedName>
    <definedName name="QB_ROW_111350" localSheetId="2" hidden="1">Justification!#REF!</definedName>
    <definedName name="QB_ROW_111350" localSheetId="3" hidden="1">'Safer Grant Info'!#REF!</definedName>
    <definedName name="QB_ROW_112050" localSheetId="0" hidden="1">Budget!$C$152</definedName>
    <definedName name="QB_ROW_112050" localSheetId="2" hidden="1">Justification!#REF!</definedName>
    <definedName name="QB_ROW_112050" localSheetId="3" hidden="1">'Safer Grant Info'!#REF!</definedName>
    <definedName name="QB_ROW_112350" localSheetId="0" hidden="1">Budget!#REF!</definedName>
    <definedName name="QB_ROW_112350" localSheetId="2" hidden="1">Justification!#REF!</definedName>
    <definedName name="QB_ROW_112350" localSheetId="3" hidden="1">'Safer Grant Info'!#REF!</definedName>
    <definedName name="QB_ROW_113050" localSheetId="0" hidden="1">Budget!$C$159</definedName>
    <definedName name="QB_ROW_113050" localSheetId="2" hidden="1">Justification!#REF!</definedName>
    <definedName name="QB_ROW_113050" localSheetId="3" hidden="1">'Safer Grant Info'!#REF!</definedName>
    <definedName name="QB_ROW_113350" localSheetId="0" hidden="1">Budget!#REF!</definedName>
    <definedName name="QB_ROW_113350" localSheetId="2" hidden="1">Justification!#REF!</definedName>
    <definedName name="QB_ROW_113350" localSheetId="3" hidden="1">'Safer Grant Info'!#REF!</definedName>
    <definedName name="QB_ROW_114050" localSheetId="0" hidden="1">Budget!$C$160</definedName>
    <definedName name="QB_ROW_114050" localSheetId="2" hidden="1">Justification!$C$16</definedName>
    <definedName name="QB_ROW_114050" localSheetId="3" hidden="1">'Safer Grant Info'!#REF!</definedName>
    <definedName name="QB_ROW_114350" localSheetId="0" hidden="1">Budget!#REF!</definedName>
    <definedName name="QB_ROW_114350" localSheetId="2" hidden="1">Justification!#REF!</definedName>
    <definedName name="QB_ROW_114350" localSheetId="3" hidden="1">'Safer Grant Info'!#REF!</definedName>
    <definedName name="QB_ROW_116050" localSheetId="0" hidden="1">Budget!$C$165</definedName>
    <definedName name="QB_ROW_116050" localSheetId="2" hidden="1">Justification!$C$19</definedName>
    <definedName name="QB_ROW_116050" localSheetId="3" hidden="1">'Safer Grant Info'!#REF!</definedName>
    <definedName name="QB_ROW_116350" localSheetId="0" hidden="1">Budget!#REF!</definedName>
    <definedName name="QB_ROW_116350" localSheetId="2" hidden="1">Justification!#REF!</definedName>
    <definedName name="QB_ROW_116350" localSheetId="3" hidden="1">'Safer Grant Info'!#REF!</definedName>
    <definedName name="QB_ROW_117050" localSheetId="0" hidden="1">Budget!$C$166</definedName>
    <definedName name="QB_ROW_117050" localSheetId="2" hidden="1">Justification!#REF!</definedName>
    <definedName name="QB_ROW_117050" localSheetId="3" hidden="1">'Safer Grant Info'!#REF!</definedName>
    <definedName name="QB_ROW_117350" localSheetId="0" hidden="1">Budget!#REF!</definedName>
    <definedName name="QB_ROW_117350" localSheetId="2" hidden="1">Justification!#REF!</definedName>
    <definedName name="QB_ROW_117350" localSheetId="3" hidden="1">'Safer Grant Info'!#REF!</definedName>
    <definedName name="QB_ROW_118050" localSheetId="0" hidden="1">Budget!$C$167</definedName>
    <definedName name="QB_ROW_118050" localSheetId="2" hidden="1">Justification!$C$22</definedName>
    <definedName name="QB_ROW_118050" localSheetId="3" hidden="1">'Safer Grant Info'!#REF!</definedName>
    <definedName name="QB_ROW_118350" localSheetId="0" hidden="1">Budget!#REF!</definedName>
    <definedName name="QB_ROW_118350" localSheetId="2" hidden="1">Justification!#REF!</definedName>
    <definedName name="QB_ROW_118350" localSheetId="3" hidden="1">'Safer Grant Info'!#REF!</definedName>
    <definedName name="QB_ROW_119050" localSheetId="0" hidden="1">Budget!$C$168</definedName>
    <definedName name="QB_ROW_119050" localSheetId="2" hidden="1">Justification!$C$27</definedName>
    <definedName name="QB_ROW_119050" localSheetId="3" hidden="1">'Safer Grant Info'!#REF!</definedName>
    <definedName name="QB_ROW_119350" localSheetId="0" hidden="1">Budget!#REF!</definedName>
    <definedName name="QB_ROW_119350" localSheetId="2" hidden="1">Justification!#REF!</definedName>
    <definedName name="QB_ROW_119350" localSheetId="3" hidden="1">'Safer Grant Info'!#REF!</definedName>
    <definedName name="QB_ROW_12030" localSheetId="0" hidden="1">Budget!#REF!</definedName>
    <definedName name="QB_ROW_12030" localSheetId="2" hidden="1">Justification!#REF!</definedName>
    <definedName name="QB_ROW_12030" localSheetId="3" hidden="1">'Safer Grant Info'!#REF!</definedName>
    <definedName name="QB_ROW_121050" localSheetId="0" hidden="1">Budget!$C$170</definedName>
    <definedName name="QB_ROW_121050" localSheetId="2" hidden="1">Justification!$C$32</definedName>
    <definedName name="QB_ROW_121050" localSheetId="3" hidden="1">'Safer Grant Info'!#REF!</definedName>
    <definedName name="QB_ROW_121350" localSheetId="0" hidden="1">Budget!#REF!</definedName>
    <definedName name="QB_ROW_121350" localSheetId="2" hidden="1">Justification!#REF!</definedName>
    <definedName name="QB_ROW_121350" localSheetId="3" hidden="1">'Safer Grant Info'!#REF!</definedName>
    <definedName name="QB_ROW_122050" localSheetId="0" hidden="1">Budget!$C$171</definedName>
    <definedName name="QB_ROW_122050" localSheetId="2" hidden="1">Justification!#REF!</definedName>
    <definedName name="QB_ROW_122050" localSheetId="3" hidden="1">'Safer Grant Info'!#REF!</definedName>
    <definedName name="QB_ROW_122350" localSheetId="0" hidden="1">Budget!#REF!</definedName>
    <definedName name="QB_ROW_122350" localSheetId="2" hidden="1">Justification!#REF!</definedName>
    <definedName name="QB_ROW_122350" localSheetId="3" hidden="1">'Safer Grant Info'!#REF!</definedName>
    <definedName name="QB_ROW_123050" localSheetId="0" hidden="1">Budget!$C$172</definedName>
    <definedName name="QB_ROW_123050" localSheetId="2" hidden="1">Justification!#REF!</definedName>
    <definedName name="QB_ROW_123050" localSheetId="3" hidden="1">'Safer Grant Info'!#REF!</definedName>
    <definedName name="QB_ROW_12330" localSheetId="0" hidden="1">Budget!#REF!</definedName>
    <definedName name="QB_ROW_12330" localSheetId="2" hidden="1">Justification!#REF!</definedName>
    <definedName name="QB_ROW_12330" localSheetId="3" hidden="1">'Safer Grant Info'!#REF!</definedName>
    <definedName name="QB_ROW_123350" localSheetId="0" hidden="1">Budget!#REF!</definedName>
    <definedName name="QB_ROW_123350" localSheetId="2" hidden="1">Justification!#REF!</definedName>
    <definedName name="QB_ROW_123350" localSheetId="3" hidden="1">'Safer Grant Info'!#REF!</definedName>
    <definedName name="QB_ROW_124050" localSheetId="0" hidden="1">Budget!$C$176</definedName>
    <definedName name="QB_ROW_124050" localSheetId="2" hidden="1">Justification!$C$34</definedName>
    <definedName name="QB_ROW_124050" localSheetId="3" hidden="1">'Safer Grant Info'!#REF!</definedName>
    <definedName name="QB_ROW_124350" localSheetId="0" hidden="1">Budget!$C$178</definedName>
    <definedName name="QB_ROW_124350" localSheetId="2" hidden="1">Justification!$C$36</definedName>
    <definedName name="QB_ROW_124350" localSheetId="3" hidden="1">'Safer Grant Info'!#REF!</definedName>
    <definedName name="QB_ROW_125050" localSheetId="0" hidden="1">Budget!#REF!</definedName>
    <definedName name="QB_ROW_125050" localSheetId="2" hidden="1">Justification!#REF!</definedName>
    <definedName name="QB_ROW_125050" localSheetId="3" hidden="1">'Safer Grant Info'!#REF!</definedName>
    <definedName name="QB_ROW_125350" localSheetId="0" hidden="1">Budget!#REF!</definedName>
    <definedName name="QB_ROW_125350" localSheetId="2" hidden="1">Justification!#REF!</definedName>
    <definedName name="QB_ROW_125350" localSheetId="3" hidden="1">'Safer Grant Info'!#REF!</definedName>
    <definedName name="QB_ROW_126050" localSheetId="0" hidden="1">Budget!#REF!</definedName>
    <definedName name="QB_ROW_126050" localSheetId="2" hidden="1">Justification!#REF!</definedName>
    <definedName name="QB_ROW_126050" localSheetId="3" hidden="1">'Safer Grant Info'!#REF!</definedName>
    <definedName name="QB_ROW_126350" localSheetId="0" hidden="1">Budget!#REF!</definedName>
    <definedName name="QB_ROW_126350" localSheetId="2" hidden="1">Justification!#REF!</definedName>
    <definedName name="QB_ROW_126350" localSheetId="3" hidden="1">'Safer Grant Info'!#REF!</definedName>
    <definedName name="QB_ROW_127050" localSheetId="0" hidden="1">Budget!$C$179</definedName>
    <definedName name="QB_ROW_127050" localSheetId="2" hidden="1">Justification!$C$37</definedName>
    <definedName name="QB_ROW_127050" localSheetId="3" hidden="1">'Safer Grant Info'!#REF!</definedName>
    <definedName name="QB_ROW_127350" localSheetId="0" hidden="1">Budget!#REF!</definedName>
    <definedName name="QB_ROW_127350" localSheetId="2" hidden="1">Justification!#REF!</definedName>
    <definedName name="QB_ROW_127350" localSheetId="3" hidden="1">'Safer Grant Info'!#REF!</definedName>
    <definedName name="QB_ROW_129050" localSheetId="0" hidden="1">Budget!$C$182</definedName>
    <definedName name="QB_ROW_129050" localSheetId="2" hidden="1">Justification!$C$43</definedName>
    <definedName name="QB_ROW_129050" localSheetId="3" hidden="1">'Safer Grant Info'!#REF!</definedName>
    <definedName name="QB_ROW_129350" localSheetId="0" hidden="1">Budget!#REF!</definedName>
    <definedName name="QB_ROW_129350" localSheetId="2" hidden="1">Justification!#REF!</definedName>
    <definedName name="QB_ROW_129350" localSheetId="3" hidden="1">'Safer Grant Info'!#REF!</definedName>
    <definedName name="QB_ROW_130050" localSheetId="0" hidden="1">Budget!$C$186</definedName>
    <definedName name="QB_ROW_130050" localSheetId="2" hidden="1">Justification!$C$45</definedName>
    <definedName name="QB_ROW_130050" localSheetId="3" hidden="1">'Safer Grant Info'!#REF!</definedName>
    <definedName name="QB_ROW_130350" localSheetId="0" hidden="1">Budget!#REF!</definedName>
    <definedName name="QB_ROW_130350" localSheetId="2" hidden="1">Justification!#REF!</definedName>
    <definedName name="QB_ROW_130350" localSheetId="3" hidden="1">'Safer Grant Info'!#REF!</definedName>
    <definedName name="QB_ROW_131050" localSheetId="0" hidden="1">Budget!#REF!</definedName>
    <definedName name="QB_ROW_131050" localSheetId="2" hidden="1">Justification!#REF!</definedName>
    <definedName name="QB_ROW_131050" localSheetId="3" hidden="1">'Safer Grant Info'!#REF!</definedName>
    <definedName name="QB_ROW_131350" localSheetId="0" hidden="1">Budget!#REF!</definedName>
    <definedName name="QB_ROW_131350" localSheetId="2" hidden="1">Justification!#REF!</definedName>
    <definedName name="QB_ROW_131350" localSheetId="3" hidden="1">'Safer Grant Info'!#REF!</definedName>
    <definedName name="QB_ROW_14040" localSheetId="0" hidden="1">Budget!$C$140</definedName>
    <definedName name="QB_ROW_14040" localSheetId="2" hidden="1">Justification!$C$12</definedName>
    <definedName name="QB_ROW_14040" localSheetId="3" hidden="1">'Safer Grant Info'!#REF!</definedName>
    <definedName name="QB_ROW_14340" localSheetId="0" hidden="1">Budget!#REF!</definedName>
    <definedName name="QB_ROW_14340" localSheetId="2" hidden="1">Justification!#REF!</definedName>
    <definedName name="QB_ROW_14340" localSheetId="3" hidden="1">'Safer Grant Info'!#REF!</definedName>
    <definedName name="QB_ROW_15040" localSheetId="0" hidden="1">Budget!$C$68</definedName>
    <definedName name="QB_ROW_15040" localSheetId="2" hidden="1">Justification!#REF!</definedName>
    <definedName name="QB_ROW_15040" localSheetId="3" hidden="1">'Safer Grant Info'!#REF!</definedName>
    <definedName name="QB_ROW_15340" localSheetId="0" hidden="1">Budget!#REF!</definedName>
    <definedName name="QB_ROW_15340" localSheetId="2" hidden="1">Justification!#REF!</definedName>
    <definedName name="QB_ROW_15340" localSheetId="3" hidden="1">'Safer Grant Info'!#REF!</definedName>
    <definedName name="QB_ROW_16040" localSheetId="0" hidden="1">Budget!$C$135</definedName>
    <definedName name="QB_ROW_16040" localSheetId="2" hidden="1">Justification!#REF!</definedName>
    <definedName name="QB_ROW_16040" localSheetId="3" hidden="1">'Safer Grant Info'!#REF!</definedName>
    <definedName name="QB_ROW_16340" localSheetId="0" hidden="1">Budget!#REF!</definedName>
    <definedName name="QB_ROW_16340" localSheetId="2" hidden="1">Justification!#REF!</definedName>
    <definedName name="QB_ROW_16340" localSheetId="3" hidden="1">'Safer Grant Info'!#REF!</definedName>
    <definedName name="QB_ROW_17040" localSheetId="0" hidden="1">Budget!$C$158</definedName>
    <definedName name="QB_ROW_17040" localSheetId="2" hidden="1">Justification!#REF!</definedName>
    <definedName name="QB_ROW_17040" localSheetId="3" hidden="1">'Safer Grant Info'!#REF!</definedName>
    <definedName name="QB_ROW_17340" localSheetId="0" hidden="1">Budget!#REF!</definedName>
    <definedName name="QB_ROW_17340" localSheetId="2" hidden="1">Justification!#REF!</definedName>
    <definedName name="QB_ROW_17340" localSheetId="3" hidden="1">'Safer Grant Info'!#REF!</definedName>
    <definedName name="QB_ROW_18040" localSheetId="0" hidden="1">Budget!$C$148</definedName>
    <definedName name="QB_ROW_18040" localSheetId="2" hidden="1">Justification!#REF!</definedName>
    <definedName name="QB_ROW_18040" localSheetId="3" hidden="1">'Safer Grant Info'!#REF!</definedName>
    <definedName name="QB_ROW_18301" localSheetId="0" hidden="1">Budget!#REF!</definedName>
    <definedName name="QB_ROW_18301" localSheetId="2" hidden="1">Justification!#REF!</definedName>
    <definedName name="QB_ROW_18301" localSheetId="3" hidden="1">'Safer Grant Info'!#REF!</definedName>
    <definedName name="QB_ROW_18340" localSheetId="0" hidden="1">Budget!#REF!</definedName>
    <definedName name="QB_ROW_18340" localSheetId="2" hidden="1">Justification!#REF!</definedName>
    <definedName name="QB_ROW_18340" localSheetId="3" hidden="1">'Safer Grant Info'!#REF!</definedName>
    <definedName name="QB_ROW_19011" localSheetId="0" hidden="1">Budget!#REF!</definedName>
    <definedName name="QB_ROW_19011" localSheetId="2" hidden="1">Justification!#REF!</definedName>
    <definedName name="QB_ROW_19011" localSheetId="3" hidden="1">'Safer Grant Info'!#REF!</definedName>
    <definedName name="QB_ROW_19040" localSheetId="0" hidden="1">Budget!$C$164</definedName>
    <definedName name="QB_ROW_19040" localSheetId="2" hidden="1">Justification!$C$18</definedName>
    <definedName name="QB_ROW_19040" localSheetId="3" hidden="1">'Safer Grant Info'!#REF!</definedName>
    <definedName name="QB_ROW_19311" localSheetId="0" hidden="1">Budget!#REF!</definedName>
    <definedName name="QB_ROW_19311" localSheetId="2" hidden="1">Justification!#REF!</definedName>
    <definedName name="QB_ROW_19311" localSheetId="3" hidden="1">'Safer Grant Info'!#REF!</definedName>
    <definedName name="QB_ROW_19340" localSheetId="0" hidden="1">Budget!#REF!</definedName>
    <definedName name="QB_ROW_19340" localSheetId="2" hidden="1">Justification!#REF!</definedName>
    <definedName name="QB_ROW_19340" localSheetId="3" hidden="1">'Safer Grant Info'!#REF!</definedName>
    <definedName name="QB_ROW_20021" localSheetId="0" hidden="1">Budget!#REF!</definedName>
    <definedName name="QB_ROW_20021" localSheetId="2" hidden="1">Justification!#REF!</definedName>
    <definedName name="QB_ROW_20021" localSheetId="3" hidden="1">'Safer Grant Info'!#REF!</definedName>
    <definedName name="QB_ROW_20040" localSheetId="0" hidden="1">Budget!$C$175</definedName>
    <definedName name="QB_ROW_20040" localSheetId="2" hidden="1">Justification!$C$33</definedName>
    <definedName name="QB_ROW_20040" localSheetId="3" hidden="1">'Safer Grant Info'!#REF!</definedName>
    <definedName name="QB_ROW_20321" localSheetId="0" hidden="1">Budget!#REF!</definedName>
    <definedName name="QB_ROW_20321" localSheetId="2" hidden="1">Justification!#REF!</definedName>
    <definedName name="QB_ROW_20321" localSheetId="3" hidden="1">'Safer Grant Info'!#REF!</definedName>
    <definedName name="QB_ROW_20340" localSheetId="0" hidden="1">Budget!#REF!</definedName>
    <definedName name="QB_ROW_20340" localSheetId="2" hidden="1">Justification!#REF!</definedName>
    <definedName name="QB_ROW_20340" localSheetId="3" hidden="1">'Safer Grant Info'!#REF!</definedName>
    <definedName name="QB_ROW_21021" localSheetId="0" hidden="1">Budget!$A$38</definedName>
    <definedName name="QB_ROW_21021" localSheetId="2" hidden="1">Justification!$A$10</definedName>
    <definedName name="QB_ROW_21021" localSheetId="3" hidden="1">'Safer Grant Info'!#REF!</definedName>
    <definedName name="QB_ROW_21040" localSheetId="0" hidden="1">Budget!$A$185</definedName>
    <definedName name="QB_ROW_21040" localSheetId="2" hidden="1">Justification!$A$44</definedName>
    <definedName name="QB_ROW_21040" localSheetId="3" hidden="1">'Safer Grant Info'!#REF!</definedName>
    <definedName name="QB_ROW_21321" localSheetId="0" hidden="1">Budget!#REF!</definedName>
    <definedName name="QB_ROW_21321" localSheetId="2" hidden="1">Justification!#REF!</definedName>
    <definedName name="QB_ROW_21321" localSheetId="3" hidden="1">'Safer Grant Info'!#REF!</definedName>
    <definedName name="QB_ROW_21340" localSheetId="0" hidden="1">Budget!#REF!</definedName>
    <definedName name="QB_ROW_21340" localSheetId="2" hidden="1">Justification!#REF!</definedName>
    <definedName name="QB_ROW_21340" localSheetId="3" hidden="1">'Safer Grant Info'!#REF!</definedName>
    <definedName name="QB_ROW_28040" localSheetId="0" hidden="1">Budget!$A$80</definedName>
    <definedName name="QB_ROW_28040" localSheetId="2" hidden="1">Justification!#REF!</definedName>
    <definedName name="QB_ROW_28040" localSheetId="3" hidden="1">'Safer Grant Info'!#REF!</definedName>
    <definedName name="QB_ROW_28340" localSheetId="0" hidden="1">Budget!#REF!</definedName>
    <definedName name="QB_ROW_28340" localSheetId="2" hidden="1">Justification!#REF!</definedName>
    <definedName name="QB_ROW_28340" localSheetId="3" hidden="1">'Safer Grant Info'!#REF!</definedName>
    <definedName name="QB_ROW_36040" localSheetId="0" hidden="1">Budget!$A$14</definedName>
    <definedName name="QB_ROW_36040" localSheetId="2" hidden="1">Justification!$A$5</definedName>
    <definedName name="QB_ROW_36040" localSheetId="3" hidden="1">'Safer Grant Info'!#REF!</definedName>
    <definedName name="QB_ROW_36340" localSheetId="0" hidden="1">Budget!#REF!</definedName>
    <definedName name="QB_ROW_36340" localSheetId="2" hidden="1">Justification!#REF!</definedName>
    <definedName name="QB_ROW_36340" localSheetId="3" hidden="1">'Safer Grant Info'!#REF!</definedName>
    <definedName name="QB_ROW_37050" localSheetId="0" hidden="1">Budget!$C$15</definedName>
    <definedName name="QB_ROW_37050" localSheetId="2" hidden="1">Justification!$C$6</definedName>
    <definedName name="QB_ROW_37050" localSheetId="3" hidden="1">'Safer Grant Info'!#REF!</definedName>
    <definedName name="QB_ROW_37350" localSheetId="0" hidden="1">Budget!#REF!</definedName>
    <definedName name="QB_ROW_37350" localSheetId="2" hidden="1">Justification!#REF!</definedName>
    <definedName name="QB_ROW_37350" localSheetId="3" hidden="1">'Safer Grant Info'!#REF!</definedName>
    <definedName name="QB_ROW_38050" localSheetId="0" hidden="1">Budget!$C$17</definedName>
    <definedName name="QB_ROW_38050" localSheetId="2" hidden="1">Justification!$C$7</definedName>
    <definedName name="QB_ROW_38050" localSheetId="3" hidden="1">'Safer Grant Info'!#REF!</definedName>
    <definedName name="QB_ROW_38350" localSheetId="0" hidden="1">Budget!#REF!</definedName>
    <definedName name="QB_ROW_38350" localSheetId="2" hidden="1">Justification!#REF!</definedName>
    <definedName name="QB_ROW_38350" localSheetId="3" hidden="1">'Safer Grant Info'!#REF!</definedName>
    <definedName name="QB_ROW_41050" localSheetId="0" hidden="1">Budget!$C$22</definedName>
    <definedName name="QB_ROW_41050" localSheetId="2" hidden="1">Justification!#REF!</definedName>
    <definedName name="QB_ROW_41050" localSheetId="3" hidden="1">'Safer Grant Info'!#REF!</definedName>
    <definedName name="QB_ROW_41350" localSheetId="0" hidden="1">Budget!#REF!</definedName>
    <definedName name="QB_ROW_41350" localSheetId="2" hidden="1">Justification!#REF!</definedName>
    <definedName name="QB_ROW_41350" localSheetId="3" hidden="1">'Safer Grant Info'!#REF!</definedName>
    <definedName name="QB_ROW_42040" localSheetId="0" hidden="1">Budget!$A$24</definedName>
    <definedName name="QB_ROW_42040" localSheetId="2" hidden="1">Justification!#REF!</definedName>
    <definedName name="QB_ROW_42040" localSheetId="3" hidden="1">'Safer Grant Info'!#REF!</definedName>
    <definedName name="QB_ROW_42340" localSheetId="0" hidden="1">Budget!#REF!</definedName>
    <definedName name="QB_ROW_42340" localSheetId="2" hidden="1">Justification!#REF!</definedName>
    <definedName name="QB_ROW_42340" localSheetId="3" hidden="1">'Safer Grant Info'!#REF!</definedName>
    <definedName name="QB_ROW_43050" localSheetId="0" hidden="1">Budget!$C$25</definedName>
    <definedName name="QB_ROW_43050" localSheetId="2" hidden="1">Justification!#REF!</definedName>
    <definedName name="QB_ROW_43050" localSheetId="3" hidden="1">'Safer Grant Info'!#REF!</definedName>
    <definedName name="QB_ROW_43350" localSheetId="0" hidden="1">Budget!$C$28</definedName>
    <definedName name="QB_ROW_43350" localSheetId="2" hidden="1">Justification!#REF!</definedName>
    <definedName name="QB_ROW_43350" localSheetId="3" hidden="1">'Safer Grant Info'!#REF!</definedName>
    <definedName name="QB_ROW_45050" localSheetId="0" hidden="1">Budget!$C$29</definedName>
    <definedName name="QB_ROW_45050" localSheetId="2" hidden="1">Justification!#REF!</definedName>
    <definedName name="QB_ROW_45050" localSheetId="3" hidden="1">'Safer Grant Info'!#REF!</definedName>
    <definedName name="QB_ROW_45350" localSheetId="0" hidden="1">Budget!$C$31</definedName>
    <definedName name="QB_ROW_45350" localSheetId="2" hidden="1">Justification!#REF!</definedName>
    <definedName name="QB_ROW_45350" localSheetId="3" hidden="1">'Safer Grant Info'!#REF!</definedName>
    <definedName name="QB_ROW_47050" localSheetId="0" hidden="1">Budget!#REF!</definedName>
    <definedName name="QB_ROW_47050" localSheetId="2" hidden="1">Justification!#REF!</definedName>
    <definedName name="QB_ROW_47050" localSheetId="3" hidden="1">'Safer Grant Info'!#REF!</definedName>
    <definedName name="QB_ROW_47350" localSheetId="0" hidden="1">Budget!#REF!</definedName>
    <definedName name="QB_ROW_47350" localSheetId="2" hidden="1">Justification!#REF!</definedName>
    <definedName name="QB_ROW_47350" localSheetId="3" hidden="1">'Safer Grant Info'!#REF!</definedName>
    <definedName name="QB_ROW_48040" localSheetId="0" hidden="1">Budget!$A$34</definedName>
    <definedName name="QB_ROW_48040" localSheetId="2" hidden="1">Justification!#REF!</definedName>
    <definedName name="QB_ROW_48040" localSheetId="3" hidden="1">'Safer Grant Info'!#REF!</definedName>
    <definedName name="QB_ROW_48340" localSheetId="0" hidden="1">Budget!#REF!</definedName>
    <definedName name="QB_ROW_48340" localSheetId="2" hidden="1">Justification!#REF!</definedName>
    <definedName name="QB_ROW_48340" localSheetId="3" hidden="1">'Safer Grant Info'!#REF!</definedName>
    <definedName name="QB_ROW_51040" localSheetId="0" hidden="1">Budget!$C$41</definedName>
    <definedName name="QB_ROW_51040" localSheetId="2" hidden="1">Justification!#REF!</definedName>
    <definedName name="QB_ROW_51040" localSheetId="3" hidden="1">'Safer Grant Info'!#REF!</definedName>
    <definedName name="QB_ROW_51340" localSheetId="0" hidden="1">Budget!#REF!</definedName>
    <definedName name="QB_ROW_51340" localSheetId="2" hidden="1">Justification!#REF!</definedName>
    <definedName name="QB_ROW_51340" localSheetId="3" hidden="1">'Safer Grant Info'!#REF!</definedName>
    <definedName name="QB_ROW_52040" localSheetId="0" hidden="1">Budget!$C$42</definedName>
    <definedName name="QB_ROW_52040" localSheetId="2" hidden="1">Justification!#REF!</definedName>
    <definedName name="QB_ROW_52040" localSheetId="3" hidden="1">'Safer Grant Info'!#REF!</definedName>
    <definedName name="QB_ROW_52340" localSheetId="0" hidden="1">Budget!#REF!</definedName>
    <definedName name="QB_ROW_52340" localSheetId="2" hidden="1">Justification!#REF!</definedName>
    <definedName name="QB_ROW_52340" localSheetId="3" hidden="1">'Safer Grant Info'!#REF!</definedName>
    <definedName name="QB_ROW_53040" localSheetId="0" hidden="1">Budget!$C$43</definedName>
    <definedName name="QB_ROW_53040" localSheetId="2" hidden="1">Justification!#REF!</definedName>
    <definedName name="QB_ROW_53040" localSheetId="3" hidden="1">'Safer Grant Info'!#REF!</definedName>
    <definedName name="QB_ROW_53340" localSheetId="0" hidden="1">Budget!#REF!</definedName>
    <definedName name="QB_ROW_53340" localSheetId="2" hidden="1">Justification!#REF!</definedName>
    <definedName name="QB_ROW_53340" localSheetId="3" hidden="1">'Safer Grant Info'!#REF!</definedName>
    <definedName name="QB_ROW_54040" localSheetId="0" hidden="1">Budget!$A$46</definedName>
    <definedName name="QB_ROW_54040" localSheetId="2" hidden="1">Justification!#REF!</definedName>
    <definedName name="QB_ROW_54040" localSheetId="3" hidden="1">'Safer Grant Info'!#REF!</definedName>
    <definedName name="QB_ROW_54340" localSheetId="0" hidden="1">Budget!$B$52</definedName>
    <definedName name="QB_ROW_54340" localSheetId="2" hidden="1">Justification!#REF!</definedName>
    <definedName name="QB_ROW_54340" localSheetId="3" hidden="1">'Safer Grant Info'!#REF!</definedName>
    <definedName name="QB_ROW_55050" localSheetId="0" hidden="1">Budget!$C$47</definedName>
    <definedName name="QB_ROW_55050" localSheetId="2" hidden="1">Justification!#REF!</definedName>
    <definedName name="QB_ROW_55050" localSheetId="3" hidden="1">'Safer Grant Info'!#REF!</definedName>
    <definedName name="QB_ROW_55350" localSheetId="0" hidden="1">Budget!#REF!</definedName>
    <definedName name="QB_ROW_55350" localSheetId="2" hidden="1">Justification!#REF!</definedName>
    <definedName name="QB_ROW_55350" localSheetId="3" hidden="1">'Safer Grant Info'!#REF!</definedName>
    <definedName name="QB_ROW_60040" localSheetId="0" hidden="1">Budget!$C$57</definedName>
    <definedName name="QB_ROW_60040" localSheetId="2" hidden="1">Justification!#REF!</definedName>
    <definedName name="QB_ROW_60040" localSheetId="3" hidden="1">'Safer Grant Info'!#REF!</definedName>
    <definedName name="QB_ROW_6030" localSheetId="0" hidden="1">Budget!$C$3</definedName>
    <definedName name="QB_ROW_6030" localSheetId="2" hidden="1">Justification!$C$3</definedName>
    <definedName name="QB_ROW_6030" localSheetId="3" hidden="1">'Safer Grant Info'!#REF!</definedName>
    <definedName name="QB_ROW_60340" localSheetId="0" hidden="1">Budget!#REF!</definedName>
    <definedName name="QB_ROW_60340" localSheetId="2" hidden="1">Justification!#REF!</definedName>
    <definedName name="QB_ROW_60340" localSheetId="3" hidden="1">'Safer Grant Info'!#REF!</definedName>
    <definedName name="QB_ROW_61040" localSheetId="0" hidden="1">Budget!$C$59</definedName>
    <definedName name="QB_ROW_61040" localSheetId="2" hidden="1">Justification!#REF!</definedName>
    <definedName name="QB_ROW_61040" localSheetId="3" hidden="1">'Safer Grant Info'!#REF!</definedName>
    <definedName name="QB_ROW_61050" localSheetId="0" hidden="1">Budget!$C$64</definedName>
    <definedName name="QB_ROW_61050" localSheetId="2" hidden="1">Justification!#REF!</definedName>
    <definedName name="QB_ROW_61050" localSheetId="3" hidden="1">'Safer Grant Info'!#REF!</definedName>
    <definedName name="QB_ROW_61340" localSheetId="0" hidden="1">Budget!$B$66</definedName>
    <definedName name="QB_ROW_61340" localSheetId="2" hidden="1">Justification!#REF!</definedName>
    <definedName name="QB_ROW_61340" localSheetId="3" hidden="1">'Safer Grant Info'!#REF!</definedName>
    <definedName name="QB_ROW_61350" localSheetId="0" hidden="1">Budget!#REF!</definedName>
    <definedName name="QB_ROW_61350" localSheetId="2" hidden="1">Justification!#REF!</definedName>
    <definedName name="QB_ROW_61350" localSheetId="3" hidden="1">'Safer Grant Info'!#REF!</definedName>
    <definedName name="QB_ROW_62050" localSheetId="0" hidden="1">Budget!$C$69</definedName>
    <definedName name="QB_ROW_62050" localSheetId="2" hidden="1">Justification!#REF!</definedName>
    <definedName name="QB_ROW_62050" localSheetId="3" hidden="1">'Safer Grant Info'!#REF!</definedName>
    <definedName name="QB_ROW_62350" localSheetId="0" hidden="1">Budget!#REF!</definedName>
    <definedName name="QB_ROW_62350" localSheetId="2" hidden="1">Justification!#REF!</definedName>
    <definedName name="QB_ROW_62350" localSheetId="3" hidden="1">'Safer Grant Info'!#REF!</definedName>
    <definedName name="QB_ROW_63050" localSheetId="0" hidden="1">Budget!$C$70</definedName>
    <definedName name="QB_ROW_63050" localSheetId="2" hidden="1">Justification!#REF!</definedName>
    <definedName name="QB_ROW_63050" localSheetId="3" hidden="1">'Safer Grant Info'!#REF!</definedName>
    <definedName name="QB_ROW_6330" localSheetId="0" hidden="1">Budget!#REF!</definedName>
    <definedName name="QB_ROW_6330" localSheetId="2" hidden="1">Justification!#REF!</definedName>
    <definedName name="QB_ROW_6330" localSheetId="3" hidden="1">'Safer Grant Info'!#REF!</definedName>
    <definedName name="QB_ROW_63350" localSheetId="0" hidden="1">Budget!#REF!</definedName>
    <definedName name="QB_ROW_63350" localSheetId="2" hidden="1">Justification!#REF!</definedName>
    <definedName name="QB_ROW_63350" localSheetId="3" hidden="1">'Safer Grant Info'!#REF!</definedName>
    <definedName name="QB_ROW_65050" localSheetId="0" hidden="1">Budget!$C$72</definedName>
    <definedName name="QB_ROW_65050" localSheetId="2" hidden="1">Justification!#REF!</definedName>
    <definedName name="QB_ROW_65050" localSheetId="3" hidden="1">'Safer Grant Info'!#REF!</definedName>
    <definedName name="QB_ROW_65350" localSheetId="0" hidden="1">Budget!#REF!</definedName>
    <definedName name="QB_ROW_65350" localSheetId="2" hidden="1">Justification!#REF!</definedName>
    <definedName name="QB_ROW_65350" localSheetId="3" hidden="1">'Safer Grant Info'!#REF!</definedName>
    <definedName name="QB_ROW_66050" localSheetId="0" hidden="1">Budget!$C$73</definedName>
    <definedName name="QB_ROW_66050" localSheetId="2" hidden="1">Justification!#REF!</definedName>
    <definedName name="QB_ROW_66050" localSheetId="3" hidden="1">'Safer Grant Info'!#REF!</definedName>
    <definedName name="QB_ROW_66350" localSheetId="0" hidden="1">Budget!#REF!</definedName>
    <definedName name="QB_ROW_66350" localSheetId="2" hidden="1">Justification!#REF!</definedName>
    <definedName name="QB_ROW_66350" localSheetId="3" hidden="1">'Safer Grant Info'!#REF!</definedName>
    <definedName name="QB_ROW_67050" localSheetId="0" hidden="1">Budget!$C$74</definedName>
    <definedName name="QB_ROW_67050" localSheetId="2" hidden="1">Justification!#REF!</definedName>
    <definedName name="QB_ROW_67050" localSheetId="3" hidden="1">'Safer Grant Info'!#REF!</definedName>
    <definedName name="QB_ROW_67350" localSheetId="0" hidden="1">Budget!#REF!</definedName>
    <definedName name="QB_ROW_67350" localSheetId="2" hidden="1">Justification!#REF!</definedName>
    <definedName name="QB_ROW_67350" localSheetId="3" hidden="1">'Safer Grant Info'!#REF!</definedName>
    <definedName name="QB_ROW_68050" localSheetId="0" hidden="1">Budget!$C$75</definedName>
    <definedName name="QB_ROW_68050" localSheetId="2" hidden="1">Justification!#REF!</definedName>
    <definedName name="QB_ROW_68050" localSheetId="3" hidden="1">'Safer Grant Info'!#REF!</definedName>
    <definedName name="QB_ROW_68350" localSheetId="0" hidden="1">Budget!$C$79</definedName>
    <definedName name="QB_ROW_68350" localSheetId="2" hidden="1">Justification!#REF!</definedName>
    <definedName name="QB_ROW_68350" localSheetId="3" hidden="1">'Safer Grant Info'!#REF!</definedName>
    <definedName name="QB_ROW_69050" localSheetId="0" hidden="1">Budget!$C$81</definedName>
    <definedName name="QB_ROW_69050" localSheetId="2" hidden="1">Justification!#REF!</definedName>
    <definedName name="QB_ROW_69050" localSheetId="3" hidden="1">'Safer Grant Info'!#REF!</definedName>
    <definedName name="QB_ROW_69350" localSheetId="0" hidden="1">Budget!#REF!</definedName>
    <definedName name="QB_ROW_69350" localSheetId="2" hidden="1">Justification!#REF!</definedName>
    <definedName name="QB_ROW_69350" localSheetId="3" hidden="1">'Safer Grant Info'!#REF!</definedName>
    <definedName name="QB_ROW_70050" localSheetId="0" hidden="1">Budget!$C$82</definedName>
    <definedName name="QB_ROW_70050" localSheetId="2" hidden="1">Justification!#REF!</definedName>
    <definedName name="QB_ROW_70050" localSheetId="3" hidden="1">'Safer Grant Info'!#REF!</definedName>
    <definedName name="QB_ROW_7030" localSheetId="0" hidden="1">Budget!$C$39</definedName>
    <definedName name="QB_ROW_7030" localSheetId="2" hidden="1">Justification!#REF!</definedName>
    <definedName name="QB_ROW_7030" localSheetId="3" hidden="1">'Safer Grant Info'!#REF!</definedName>
    <definedName name="QB_ROW_70350" localSheetId="0" hidden="1">Budget!#REF!</definedName>
    <definedName name="QB_ROW_70350" localSheetId="2" hidden="1">Justification!#REF!</definedName>
    <definedName name="QB_ROW_70350" localSheetId="3" hidden="1">'Safer Grant Info'!#REF!</definedName>
    <definedName name="QB_ROW_71050" localSheetId="0" hidden="1">Budget!#REF!</definedName>
    <definedName name="QB_ROW_71050" localSheetId="2" hidden="1">Justification!#REF!</definedName>
    <definedName name="QB_ROW_71050" localSheetId="3" hidden="1">'Safer Grant Info'!#REF!</definedName>
    <definedName name="QB_ROW_71350" localSheetId="0" hidden="1">Budget!#REF!</definedName>
    <definedName name="QB_ROW_71350" localSheetId="2" hidden="1">Justification!#REF!</definedName>
    <definedName name="QB_ROW_71350" localSheetId="3" hidden="1">'Safer Grant Info'!#REF!</definedName>
    <definedName name="QB_ROW_72050" localSheetId="0" hidden="1">Budget!#REF!</definedName>
    <definedName name="QB_ROW_72050" localSheetId="2" hidden="1">Justification!#REF!</definedName>
    <definedName name="QB_ROW_72050" localSheetId="3" hidden="1">'Safer Grant Info'!#REF!</definedName>
    <definedName name="QB_ROW_72350" localSheetId="0" hidden="1">Budget!#REF!</definedName>
    <definedName name="QB_ROW_72350" localSheetId="2" hidden="1">Justification!#REF!</definedName>
    <definedName name="QB_ROW_72350" localSheetId="3" hidden="1">'Safer Grant Info'!#REF!</definedName>
    <definedName name="QB_ROW_73050" localSheetId="0" hidden="1">Budget!$C$84</definedName>
    <definedName name="QB_ROW_73050" localSheetId="2" hidden="1">Justification!#REF!</definedName>
    <definedName name="QB_ROW_73050" localSheetId="3" hidden="1">'Safer Grant Info'!#REF!</definedName>
    <definedName name="QB_ROW_7330" localSheetId="0" hidden="1">Budget!#REF!</definedName>
    <definedName name="QB_ROW_7330" localSheetId="2" hidden="1">Justification!#REF!</definedName>
    <definedName name="QB_ROW_7330" localSheetId="3" hidden="1">'Safer Grant Info'!#REF!</definedName>
    <definedName name="QB_ROW_73350" localSheetId="0" hidden="1">Budget!#REF!</definedName>
    <definedName name="QB_ROW_73350" localSheetId="2" hidden="1">Justification!#REF!</definedName>
    <definedName name="QB_ROW_73350" localSheetId="3" hidden="1">'Safer Grant Info'!#REF!</definedName>
    <definedName name="QB_ROW_75050" localSheetId="0" hidden="1">Budget!$C$86</definedName>
    <definedName name="QB_ROW_75050" localSheetId="2" hidden="1">Justification!#REF!</definedName>
    <definedName name="QB_ROW_75050" localSheetId="3" hidden="1">'Safer Grant Info'!#REF!</definedName>
    <definedName name="QB_ROW_75350" localSheetId="0" hidden="1">Budget!$C$89</definedName>
    <definedName name="QB_ROW_75350" localSheetId="2" hidden="1">Justification!#REF!</definedName>
    <definedName name="QB_ROW_75350" localSheetId="3" hidden="1">'Safer Grant Info'!#REF!</definedName>
    <definedName name="QB_ROW_78040" localSheetId="0" hidden="1">Budget!$B$95</definedName>
    <definedName name="QB_ROW_78040" localSheetId="2" hidden="1">Justification!#REF!</definedName>
    <definedName name="QB_ROW_78040" localSheetId="3" hidden="1">'Safer Grant Info'!#REF!</definedName>
    <definedName name="QB_ROW_78340" localSheetId="0" hidden="1">Budget!#REF!</definedName>
    <definedName name="QB_ROW_78340" localSheetId="2" hidden="1">Justification!#REF!</definedName>
    <definedName name="QB_ROW_78340" localSheetId="3" hidden="1">'Safer Grant Info'!#REF!</definedName>
    <definedName name="QB_ROW_80050" localSheetId="0" hidden="1">Budget!$C$98</definedName>
    <definedName name="QB_ROW_80050" localSheetId="2" hidden="1">Justification!#REF!</definedName>
    <definedName name="QB_ROW_80050" localSheetId="3" hidden="1">'Safer Grant Info'!#REF!</definedName>
    <definedName name="QB_ROW_8030" localSheetId="0" hidden="1">Budget!#REF!</definedName>
    <definedName name="QB_ROW_8030" localSheetId="2" hidden="1">Justification!#REF!</definedName>
    <definedName name="QB_ROW_8030" localSheetId="3" hidden="1">'Safer Grant Info'!#REF!</definedName>
    <definedName name="QB_ROW_80350" localSheetId="0" hidden="1">Budget!#REF!</definedName>
    <definedName name="QB_ROW_80350" localSheetId="2" hidden="1">Justification!#REF!</definedName>
    <definedName name="QB_ROW_80350" localSheetId="3" hidden="1">'Safer Grant Info'!#REF!</definedName>
    <definedName name="QB_ROW_81040" localSheetId="0" hidden="1">Budget!$C$101</definedName>
    <definedName name="QB_ROW_81040" localSheetId="2" hidden="1">Justification!#REF!</definedName>
    <definedName name="QB_ROW_81040" localSheetId="3" hidden="1">'Safer Grant Info'!#REF!</definedName>
    <definedName name="QB_ROW_81340" localSheetId="0" hidden="1">Budget!#REF!</definedName>
    <definedName name="QB_ROW_81340" localSheetId="2" hidden="1">Justification!#REF!</definedName>
    <definedName name="QB_ROW_81340" localSheetId="3" hidden="1">'Safer Grant Info'!#REF!</definedName>
    <definedName name="QB_ROW_83050" localSheetId="0" hidden="1">Budget!$C$103</definedName>
    <definedName name="QB_ROW_83050" localSheetId="2" hidden="1">Justification!#REF!</definedName>
    <definedName name="QB_ROW_83050" localSheetId="3" hidden="1">'Safer Grant Info'!#REF!</definedName>
    <definedName name="QB_ROW_8330" localSheetId="0" hidden="1">Budget!$A$125</definedName>
    <definedName name="QB_ROW_8330" localSheetId="2" hidden="1">Justification!#REF!</definedName>
    <definedName name="QB_ROW_8330" localSheetId="3" hidden="1">'Safer Grant Info'!#REF!</definedName>
    <definedName name="QB_ROW_83350" localSheetId="0" hidden="1">Budget!#REF!</definedName>
    <definedName name="QB_ROW_83350" localSheetId="2" hidden="1">Justification!#REF!</definedName>
    <definedName name="QB_ROW_83350" localSheetId="3" hidden="1">'Safer Grant Info'!#REF!</definedName>
    <definedName name="QB_ROW_84050" localSheetId="0" hidden="1">Budget!$C$104</definedName>
    <definedName name="QB_ROW_84050" localSheetId="2" hidden="1">Justification!#REF!</definedName>
    <definedName name="QB_ROW_84050" localSheetId="3" hidden="1">'Safer Grant Info'!#REF!</definedName>
    <definedName name="QB_ROW_84350" localSheetId="0" hidden="1">Budget!#REF!</definedName>
    <definedName name="QB_ROW_84350" localSheetId="2" hidden="1">Justification!#REF!</definedName>
    <definedName name="QB_ROW_84350" localSheetId="3" hidden="1">'Safer Grant Info'!#REF!</definedName>
    <definedName name="QB_ROW_85050" localSheetId="0" hidden="1">Budget!$C$105</definedName>
    <definedName name="QB_ROW_85050" localSheetId="2" hidden="1">Justification!#REF!</definedName>
    <definedName name="QB_ROW_85050" localSheetId="3" hidden="1">'Safer Grant Info'!#REF!</definedName>
    <definedName name="QB_ROW_85350" localSheetId="0" hidden="1">Budget!#REF!</definedName>
    <definedName name="QB_ROW_85350" localSheetId="2" hidden="1">Justification!#REF!</definedName>
    <definedName name="QB_ROW_85350" localSheetId="3" hidden="1">'Safer Grant Info'!#REF!</definedName>
    <definedName name="QB_ROW_86050" localSheetId="0" hidden="1">Budget!$C$106</definedName>
    <definedName name="QB_ROW_86050" localSheetId="2" hidden="1">Justification!#REF!</definedName>
    <definedName name="QB_ROW_86050" localSheetId="3" hidden="1">'Safer Grant Info'!#REF!</definedName>
    <definedName name="QB_ROW_86350" localSheetId="0" hidden="1">Budget!#REF!</definedName>
    <definedName name="QB_ROW_86350" localSheetId="2" hidden="1">Justification!#REF!</definedName>
    <definedName name="QB_ROW_86350" localSheetId="3" hidden="1">'Safer Grant Info'!#REF!</definedName>
    <definedName name="QB_ROW_87050" localSheetId="0" hidden="1">Budget!$C$107</definedName>
    <definedName name="QB_ROW_87050" localSheetId="2" hidden="1">Justification!#REF!</definedName>
    <definedName name="QB_ROW_87050" localSheetId="3" hidden="1">'Safer Grant Info'!#REF!</definedName>
    <definedName name="QB_ROW_87350" localSheetId="0" hidden="1">Budget!#REF!</definedName>
    <definedName name="QB_ROW_87350" localSheetId="2" hidden="1">Justification!#REF!</definedName>
    <definedName name="QB_ROW_87350" localSheetId="3" hidden="1">'Safer Grant Info'!#REF!</definedName>
    <definedName name="QB_ROW_88050" localSheetId="0" hidden="1">Budget!$C$108</definedName>
    <definedName name="QB_ROW_88050" localSheetId="2" hidden="1">Justification!#REF!</definedName>
    <definedName name="QB_ROW_88050" localSheetId="3" hidden="1">'Safer Grant Info'!#REF!</definedName>
    <definedName name="QB_ROW_88350" localSheetId="0" hidden="1">Budget!#REF!</definedName>
    <definedName name="QB_ROW_88350" localSheetId="2" hidden="1">Justification!#REF!</definedName>
    <definedName name="QB_ROW_88350" localSheetId="3" hidden="1">'Safer Grant Info'!#REF!</definedName>
    <definedName name="QB_ROW_89040" localSheetId="0" hidden="1">Budget!$C$111</definedName>
    <definedName name="QB_ROW_89040" localSheetId="2" hidden="1">Justification!#REF!</definedName>
    <definedName name="QB_ROW_89040" localSheetId="3" hidden="1">'Safer Grant Info'!#REF!</definedName>
    <definedName name="QB_ROW_89050" localSheetId="0" hidden="1">Budget!#REF!</definedName>
    <definedName name="QB_ROW_89050" localSheetId="2" hidden="1">Justification!#REF!</definedName>
    <definedName name="QB_ROW_89050" localSheetId="3" hidden="1">'Safer Grant Info'!#REF!</definedName>
    <definedName name="QB_ROW_89340" localSheetId="0" hidden="1">Budget!#REF!</definedName>
    <definedName name="QB_ROW_89340" localSheetId="2" hidden="1">Justification!#REF!</definedName>
    <definedName name="QB_ROW_89340" localSheetId="3" hidden="1">'Safer Grant Info'!#REF!</definedName>
    <definedName name="QB_ROW_89350" localSheetId="0" hidden="1">Budget!#REF!</definedName>
    <definedName name="QB_ROW_89350" localSheetId="2" hidden="1">Justification!#REF!</definedName>
    <definedName name="QB_ROW_89350" localSheetId="3" hidden="1">'Safer Grant Info'!#REF!</definedName>
    <definedName name="QB_ROW_90050" localSheetId="0" hidden="1">Budget!$C$112</definedName>
    <definedName name="QB_ROW_90050" localSheetId="2" hidden="1">Justification!#REF!</definedName>
    <definedName name="QB_ROW_90050" localSheetId="3" hidden="1">'Safer Grant Info'!#REF!</definedName>
    <definedName name="QB_ROW_9030" localSheetId="0" hidden="1">Budget!$A$128</definedName>
    <definedName name="QB_ROW_9030" localSheetId="2" hidden="1">Justification!#REF!</definedName>
    <definedName name="QB_ROW_9030" localSheetId="3" hidden="1">'Safer Grant Info'!#REF!</definedName>
    <definedName name="QB_ROW_90350" localSheetId="0" hidden="1">Budget!#REF!</definedName>
    <definedName name="QB_ROW_90350" localSheetId="2" hidden="1">Justification!#REF!</definedName>
    <definedName name="QB_ROW_90350" localSheetId="3" hidden="1">'Safer Grant Info'!#REF!</definedName>
    <definedName name="QB_ROW_91050" localSheetId="0" hidden="1">Budget!$C$113</definedName>
    <definedName name="QB_ROW_91050" localSheetId="2" hidden="1">Justification!#REF!</definedName>
    <definedName name="QB_ROW_91050" localSheetId="3" hidden="1">'Safer Grant Info'!#REF!</definedName>
    <definedName name="QB_ROW_91350" localSheetId="0" hidden="1">Budget!#REF!</definedName>
    <definedName name="QB_ROW_91350" localSheetId="2" hidden="1">Justification!#REF!</definedName>
    <definedName name="QB_ROW_91350" localSheetId="3" hidden="1">'Safer Grant Info'!#REF!</definedName>
    <definedName name="QB_ROW_92050" localSheetId="0" hidden="1">Budget!$C$114</definedName>
    <definedName name="QB_ROW_92050" localSheetId="2" hidden="1">Justification!#REF!</definedName>
    <definedName name="QB_ROW_92050" localSheetId="3" hidden="1">'Safer Grant Info'!#REF!</definedName>
    <definedName name="QB_ROW_92350" localSheetId="0" hidden="1">Budget!#REF!</definedName>
    <definedName name="QB_ROW_92350" localSheetId="2" hidden="1">Justification!#REF!</definedName>
    <definedName name="QB_ROW_92350" localSheetId="3" hidden="1">'Safer Grant Info'!#REF!</definedName>
    <definedName name="QB_ROW_93050" localSheetId="0" hidden="1">Budget!$C$115</definedName>
    <definedName name="QB_ROW_93050" localSheetId="2" hidden="1">Justification!#REF!</definedName>
    <definedName name="QB_ROW_93050" localSheetId="3" hidden="1">'Safer Grant Info'!#REF!</definedName>
    <definedName name="QB_ROW_9330" localSheetId="0" hidden="1">Budget!#REF!</definedName>
    <definedName name="QB_ROW_9330" localSheetId="2" hidden="1">Justification!#REF!</definedName>
    <definedName name="QB_ROW_9330" localSheetId="3" hidden="1">'Safer Grant Info'!#REF!</definedName>
    <definedName name="QB_ROW_93350" localSheetId="0" hidden="1">Budget!$C$117</definedName>
    <definedName name="QB_ROW_93350" localSheetId="2" hidden="1">Justification!#REF!</definedName>
    <definedName name="QB_ROW_93350" localSheetId="3" hidden="1">'Safer Grant Info'!#REF!</definedName>
    <definedName name="QB_ROW_97050" localSheetId="0" hidden="1">Budget!$C$121</definedName>
    <definedName name="QB_ROW_97050" localSheetId="2" hidden="1">Justification!#REF!</definedName>
    <definedName name="QB_ROW_97050" localSheetId="3" hidden="1">'Safer Grant Info'!#REF!</definedName>
    <definedName name="QB_ROW_97350" localSheetId="0" hidden="1">Budget!#REF!</definedName>
    <definedName name="QB_ROW_97350" localSheetId="2" hidden="1">Justification!#REF!</definedName>
    <definedName name="QB_ROW_97350" localSheetId="3" hidden="1">'Safer Grant Info'!#REF!</definedName>
    <definedName name="QB_ROW_98050" localSheetId="0" hidden="1">Budget!$C$122</definedName>
    <definedName name="QB_ROW_98050" localSheetId="2" hidden="1">Justification!#REF!</definedName>
    <definedName name="QB_ROW_98050" localSheetId="3" hidden="1">'Safer Grant Info'!#REF!</definedName>
    <definedName name="QB_ROW_98350" localSheetId="0" hidden="1">Budget!#REF!</definedName>
    <definedName name="QB_ROW_98350" localSheetId="2" hidden="1">Justification!#REF!</definedName>
    <definedName name="QB_ROW_98350" localSheetId="3" hidden="1">'Safer Grant Info'!#REF!</definedName>
    <definedName name="QB_ROW_99040" localSheetId="0" hidden="1">Budget!$C$189</definedName>
    <definedName name="QB_ROW_99040" localSheetId="2" hidden="1">Justification!#REF!</definedName>
    <definedName name="QB_ROW_99040" localSheetId="3" hidden="1">'Safer Grant Info'!#REF!</definedName>
    <definedName name="QB_ROW_99340" localSheetId="0" hidden="1">Budget!#REF!</definedName>
    <definedName name="QB_ROW_99340" localSheetId="2" hidden="1">Justification!#REF!</definedName>
    <definedName name="QB_ROW_99340" localSheetId="3" hidden="1">'Safer Grant Info'!#REF!</definedName>
    <definedName name="QBCANSUPPORTUPDATE" localSheetId="0">TRUE</definedName>
    <definedName name="QBCANSUPPORTUPDATE" localSheetId="2">TRUE</definedName>
    <definedName name="QBCANSUPPORTUPDATE" localSheetId="3">TRUE</definedName>
    <definedName name="QBCOMPANYFILENAME" localSheetId="0">"C:\Users\Public\Documents\Intuit\QuickBooks\Sample Company Files\QuickBooks 2014\Newberry CSD.qbw"</definedName>
    <definedName name="QBCOMPANYFILENAME" localSheetId="2">"C:\Users\Public\Documents\Intuit\QuickBooks\Sample Company Files\QuickBooks 2014\Newberry CSD.qbw"</definedName>
    <definedName name="QBCOMPANYFILENAME" localSheetId="3">"C:\Users\Public\Documents\Intuit\QuickBooks\Sample Company Files\QuickBooks 2014\Newberry CSD.qbw"</definedName>
    <definedName name="QBENDDATE" localSheetId="0">20210630</definedName>
    <definedName name="QBENDDATE" localSheetId="2">20210630</definedName>
    <definedName name="QBENDDATE" localSheetId="3">20210630</definedName>
    <definedName name="QBHEADERSONSCREEN" localSheetId="0">FALSE</definedName>
    <definedName name="QBHEADERSONSCREEN" localSheetId="2">FALSE</definedName>
    <definedName name="QBHEADERSONSCREEN" localSheetId="3">FALSE</definedName>
    <definedName name="QBMETADATASIZE" localSheetId="0">7337</definedName>
    <definedName name="QBMETADATASIZE" localSheetId="2">7337</definedName>
    <definedName name="QBMETADATASIZE" localSheetId="3">7337</definedName>
    <definedName name="QBPRESERVECOLOR" localSheetId="0">TRUE</definedName>
    <definedName name="QBPRESERVECOLOR" localSheetId="2">TRUE</definedName>
    <definedName name="QBPRESERVECOLOR" localSheetId="3">TRUE</definedName>
    <definedName name="QBPRESERVEFONT" localSheetId="0">TRUE</definedName>
    <definedName name="QBPRESERVEFONT" localSheetId="2">TRUE</definedName>
    <definedName name="QBPRESERVEFONT" localSheetId="3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SPACE" localSheetId="0">TRUE</definedName>
    <definedName name="QBPRESERVESPACE" localSheetId="2">TRUE</definedName>
    <definedName name="QBPRESERVESPACE" localSheetId="3">TRUE</definedName>
    <definedName name="QBREPORTCOLAXIS" localSheetId="0">0</definedName>
    <definedName name="QBREPORTCOLAXIS" localSheetId="2">0</definedName>
    <definedName name="QBREPORTCOLAXIS" localSheetId="3">0</definedName>
    <definedName name="QBREPORTCOMPANYID" localSheetId="0">"52dbecb3c13947dfadd04ae27aba4a79"</definedName>
    <definedName name="QBREPORTCOMPANYID" localSheetId="2">"52dbecb3c13947dfadd04ae27aba4a79"</definedName>
    <definedName name="QBREPORTCOMPANYID" localSheetId="3">"52dbecb3c13947dfadd04ae27aba4a79"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BUDDIFF" localSheetId="0">FALSE</definedName>
    <definedName name="QBREPORTCOMPARECOL_BUDDIFF" localSheetId="2">FALSE</definedName>
    <definedName name="QBREPORTCOMPARECOL_BUDDIFF" localSheetId="3">FALSE</definedName>
    <definedName name="QBREPORTCOMPARECOL_BUDGET" localSheetId="0">FALSE</definedName>
    <definedName name="QBREPORTCOMPARECOL_BUDGET" localSheetId="2">FALSE</definedName>
    <definedName name="QBREPORTCOMPARECOL_BUDGET" localSheetId="3">FALSE</definedName>
    <definedName name="QBREPORTCOMPARECOL_BUDPCT" localSheetId="0">FALSE</definedName>
    <definedName name="QBREPORTCOMPARECOL_BUDPCT" localSheetId="2">FALSE</definedName>
    <definedName name="QBREPORTCOMPARECOL_BUDPCT" localSheetId="3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ROWAXIS" localSheetId="0">11</definedName>
    <definedName name="QBREPORTROWAXIS" localSheetId="2">11</definedName>
    <definedName name="QBREPORTROWAXIS" localSheetId="3">11</definedName>
    <definedName name="QBREPORTSUBCOLAXIS" localSheetId="0">0</definedName>
    <definedName name="QBREPORTSUBCOLAXIS" localSheetId="2">0</definedName>
    <definedName name="QBREPORTSUBCOLAXIS" localSheetId="3">0</definedName>
    <definedName name="QBREPORTTYPE" localSheetId="0">4</definedName>
    <definedName name="QBREPORTTYPE" localSheetId="2">4</definedName>
    <definedName name="QBREPORTTYPE" localSheetId="3">4</definedName>
    <definedName name="QBROWHEADERS" localSheetId="0">6</definedName>
    <definedName name="QBROWHEADERS" localSheetId="2">6</definedName>
    <definedName name="QBROWHEADERS" localSheetId="3">6</definedName>
    <definedName name="QBSTARTDATE" localSheetId="0">20200701</definedName>
    <definedName name="QBSTARTDATE" localSheetId="2">20200701</definedName>
    <definedName name="QBSTARTDATE" localSheetId="3">20200701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B12" i="7"/>
  <c r="B11" i="7"/>
  <c r="B10" i="7"/>
  <c r="B5" i="7"/>
  <c r="B4" i="7"/>
  <c r="B6" i="7" s="1"/>
  <c r="B13" i="7"/>
  <c r="B7" i="7" l="1"/>
  <c r="U90" i="1"/>
  <c r="E18" i="4" l="1"/>
  <c r="AC41" i="6"/>
  <c r="AC31" i="6"/>
  <c r="AC25" i="6"/>
  <c r="AC26" i="6" s="1"/>
  <c r="AC21" i="6"/>
  <c r="AA45" i="6"/>
  <c r="U45" i="6"/>
  <c r="S45" i="6"/>
  <c r="F45" i="6"/>
  <c r="AA44" i="6"/>
  <c r="S44" i="6"/>
  <c r="AA43" i="6"/>
  <c r="U43" i="6"/>
  <c r="S43" i="6"/>
  <c r="F43" i="6"/>
  <c r="AA42" i="6"/>
  <c r="AA37" i="6"/>
  <c r="U37" i="6"/>
  <c r="S37" i="6"/>
  <c r="F37" i="6"/>
  <c r="AA36" i="6"/>
  <c r="U36" i="6"/>
  <c r="S36" i="6"/>
  <c r="F36" i="6"/>
  <c r="AA34" i="6"/>
  <c r="U34" i="6"/>
  <c r="S34" i="6"/>
  <c r="F34" i="6"/>
  <c r="M33" i="6"/>
  <c r="AA32" i="6"/>
  <c r="U32" i="6"/>
  <c r="S32" i="6"/>
  <c r="F32" i="6"/>
  <c r="AA28" i="6"/>
  <c r="U28" i="6"/>
  <c r="S28" i="6"/>
  <c r="AA27" i="6"/>
  <c r="U27" i="6"/>
  <c r="S27" i="6"/>
  <c r="F27" i="6"/>
  <c r="AA22" i="6"/>
  <c r="U22" i="6"/>
  <c r="S22" i="6"/>
  <c r="F22" i="6"/>
  <c r="AA19" i="6"/>
  <c r="U19" i="6"/>
  <c r="S19" i="6"/>
  <c r="F19" i="6"/>
  <c r="F18" i="6"/>
  <c r="AA17" i="6"/>
  <c r="U17" i="6"/>
  <c r="S17" i="6"/>
  <c r="F17" i="6"/>
  <c r="AA16" i="6"/>
  <c r="U16" i="6"/>
  <c r="S16" i="6"/>
  <c r="F16" i="6"/>
  <c r="AA15" i="6"/>
  <c r="U15" i="6"/>
  <c r="S15" i="6"/>
  <c r="F15" i="6"/>
  <c r="U14" i="6"/>
  <c r="F14" i="6"/>
  <c r="AA13" i="6"/>
  <c r="U13" i="6"/>
  <c r="S13" i="6"/>
  <c r="F13" i="6"/>
  <c r="X8" i="6"/>
  <c r="AA8" i="6" s="1"/>
  <c r="T8" i="6"/>
  <c r="O8" i="6"/>
  <c r="S8" i="6" s="1"/>
  <c r="H8" i="6"/>
  <c r="E8" i="6"/>
  <c r="AA7" i="6"/>
  <c r="S7" i="6"/>
  <c r="F7" i="6"/>
  <c r="AA6" i="6"/>
  <c r="U6" i="6"/>
  <c r="S6" i="6"/>
  <c r="F6" i="6"/>
  <c r="V173" i="1"/>
  <c r="V183" i="1"/>
  <c r="AB181" i="1"/>
  <c r="C11" i="4"/>
  <c r="E15" i="4"/>
  <c r="F15" i="4" s="1"/>
  <c r="E20" i="4"/>
  <c r="E21" i="4"/>
  <c r="E17" i="4"/>
  <c r="E13" i="4"/>
  <c r="E10" i="4"/>
  <c r="L10" i="4" s="1"/>
  <c r="L18" i="4" l="1"/>
  <c r="G18" i="4"/>
  <c r="N18" i="4"/>
  <c r="O18" i="4" s="1"/>
  <c r="K18" i="4"/>
  <c r="F18" i="4"/>
  <c r="U8" i="6"/>
  <c r="F8" i="6"/>
  <c r="J6" i="6"/>
  <c r="J7" i="6"/>
  <c r="G10" i="4"/>
  <c r="L15" i="4"/>
  <c r="G15" i="4"/>
  <c r="J15" i="4" s="1"/>
  <c r="K15" i="4"/>
  <c r="L20" i="4"/>
  <c r="G20" i="4"/>
  <c r="F20" i="4"/>
  <c r="K20" i="4"/>
  <c r="K10" i="4"/>
  <c r="N10" i="4" s="1"/>
  <c r="O10" i="4" s="1"/>
  <c r="L21" i="4"/>
  <c r="K21" i="4"/>
  <c r="F21" i="4"/>
  <c r="G21" i="4"/>
  <c r="K17" i="4"/>
  <c r="F17" i="4"/>
  <c r="L17" i="4"/>
  <c r="G17" i="4"/>
  <c r="K13" i="4"/>
  <c r="F13" i="4"/>
  <c r="L13" i="4"/>
  <c r="G13" i="4"/>
  <c r="F10" i="4"/>
  <c r="E9" i="4"/>
  <c r="G9" i="4" s="1"/>
  <c r="R47" i="4"/>
  <c r="J18" i="4" l="1"/>
  <c r="J8" i="6"/>
  <c r="Q7" i="6"/>
  <c r="Q6" i="6"/>
  <c r="N20" i="4"/>
  <c r="O20" i="4" s="1"/>
  <c r="J10" i="4"/>
  <c r="N21" i="4"/>
  <c r="O21" i="4" s="1"/>
  <c r="J20" i="4"/>
  <c r="N13" i="4"/>
  <c r="O13" i="4" s="1"/>
  <c r="N15" i="4"/>
  <c r="O15" i="4" s="1"/>
  <c r="N17" i="4"/>
  <c r="O17" i="4" s="1"/>
  <c r="J17" i="4"/>
  <c r="J21" i="4"/>
  <c r="F9" i="4"/>
  <c r="J9" i="4" s="1"/>
  <c r="K9" i="4"/>
  <c r="L9" i="4"/>
  <c r="J13" i="4"/>
  <c r="E43" i="4"/>
  <c r="D43" i="4"/>
  <c r="D35" i="4"/>
  <c r="C35" i="4" s="1"/>
  <c r="E41" i="4"/>
  <c r="J41" i="4" s="1"/>
  <c r="N41" i="4" s="1"/>
  <c r="E39" i="4"/>
  <c r="J39" i="4" s="1"/>
  <c r="N39" i="4" s="1"/>
  <c r="J37" i="4"/>
  <c r="N37" i="4" s="1"/>
  <c r="J35" i="4"/>
  <c r="N35" i="4" s="1"/>
  <c r="U82" i="1"/>
  <c r="Q36" i="6" l="1"/>
  <c r="Q19" i="6"/>
  <c r="Q16" i="6"/>
  <c r="Q15" i="6"/>
  <c r="Q37" i="6"/>
  <c r="Q28" i="6"/>
  <c r="Q17" i="6"/>
  <c r="Q43" i="6"/>
  <c r="Q34" i="6"/>
  <c r="Q32" i="6"/>
  <c r="Q22" i="6"/>
  <c r="Q13" i="6"/>
  <c r="Q45" i="6"/>
  <c r="Q27" i="6"/>
  <c r="J45" i="6"/>
  <c r="J27" i="6"/>
  <c r="J36" i="6"/>
  <c r="J19" i="6"/>
  <c r="J16" i="6"/>
  <c r="J15" i="6"/>
  <c r="J37" i="6"/>
  <c r="J28" i="6"/>
  <c r="J17" i="6"/>
  <c r="J22" i="6"/>
  <c r="J13" i="6"/>
  <c r="J34" i="6"/>
  <c r="J43" i="6"/>
  <c r="J32" i="6"/>
  <c r="Q8" i="6"/>
  <c r="N9" i="4"/>
  <c r="O9" i="4" s="1"/>
  <c r="E12" i="4"/>
  <c r="U196" i="1"/>
  <c r="U195" i="1"/>
  <c r="U190" i="1"/>
  <c r="U191" i="1" s="1"/>
  <c r="U186" i="1"/>
  <c r="U187" i="1" s="1"/>
  <c r="U182" i="1"/>
  <c r="U179" i="1"/>
  <c r="U178" i="1"/>
  <c r="U177" i="1"/>
  <c r="U176" i="1"/>
  <c r="U172" i="1"/>
  <c r="U171" i="1"/>
  <c r="U170" i="1"/>
  <c r="U169" i="1"/>
  <c r="U168" i="1"/>
  <c r="U167" i="1"/>
  <c r="U166" i="1"/>
  <c r="U165" i="1"/>
  <c r="U161" i="1"/>
  <c r="U152" i="1"/>
  <c r="U151" i="1"/>
  <c r="U150" i="1"/>
  <c r="U149" i="1"/>
  <c r="U144" i="1"/>
  <c r="U142" i="1"/>
  <c r="U141" i="1"/>
  <c r="U137" i="1"/>
  <c r="U138" i="1" s="1"/>
  <c r="U132" i="1"/>
  <c r="U129" i="1"/>
  <c r="U130" i="1" s="1"/>
  <c r="U122" i="1"/>
  <c r="U121" i="1"/>
  <c r="U119" i="1"/>
  <c r="U115" i="1"/>
  <c r="U114" i="1"/>
  <c r="U113" i="1"/>
  <c r="U112" i="1"/>
  <c r="U108" i="1"/>
  <c r="U106" i="1"/>
  <c r="U105" i="1"/>
  <c r="U104" i="1"/>
  <c r="U103" i="1"/>
  <c r="U102" i="1"/>
  <c r="U97" i="1"/>
  <c r="U99" i="1" s="1"/>
  <c r="U95" i="1"/>
  <c r="U86" i="1"/>
  <c r="U85" i="1"/>
  <c r="U81" i="1"/>
  <c r="U76" i="1"/>
  <c r="U75" i="1"/>
  <c r="U74" i="1"/>
  <c r="U73" i="1"/>
  <c r="U72" i="1"/>
  <c r="U71" i="1"/>
  <c r="U70" i="1"/>
  <c r="U69" i="1"/>
  <c r="U59" i="1"/>
  <c r="U57" i="1"/>
  <c r="U58" i="1" s="1"/>
  <c r="U50" i="1"/>
  <c r="U49" i="1"/>
  <c r="U47" i="1"/>
  <c r="U43" i="1"/>
  <c r="U44" i="1" s="1"/>
  <c r="U16" i="1"/>
  <c r="U24" i="1"/>
  <c r="U26" i="1"/>
  <c r="U19" i="1"/>
  <c r="U15" i="1"/>
  <c r="U10" i="1"/>
  <c r="U12" i="1" s="1"/>
  <c r="U6" i="1"/>
  <c r="U7" i="1" s="1"/>
  <c r="O210" i="1"/>
  <c r="E197" i="1"/>
  <c r="X191" i="1"/>
  <c r="T191" i="1"/>
  <c r="O191" i="1"/>
  <c r="M191" i="1"/>
  <c r="M192" i="1" s="1"/>
  <c r="H191" i="1"/>
  <c r="E191" i="1"/>
  <c r="S190" i="1"/>
  <c r="S189" i="1"/>
  <c r="X187" i="1"/>
  <c r="T187" i="1"/>
  <c r="O187" i="1"/>
  <c r="M187" i="1"/>
  <c r="H187" i="1"/>
  <c r="E187" i="1"/>
  <c r="S186" i="1"/>
  <c r="S185" i="1"/>
  <c r="X183" i="1"/>
  <c r="T183" i="1"/>
  <c r="O183" i="1"/>
  <c r="H183" i="1"/>
  <c r="E183" i="1"/>
  <c r="S182" i="1"/>
  <c r="S180" i="1"/>
  <c r="S179" i="1"/>
  <c r="S178" i="1"/>
  <c r="S177" i="1"/>
  <c r="S176" i="1"/>
  <c r="M175" i="1"/>
  <c r="M183" i="1" s="1"/>
  <c r="X173" i="1"/>
  <c r="T173" i="1"/>
  <c r="O173" i="1"/>
  <c r="M173" i="1"/>
  <c r="H173" i="1"/>
  <c r="E173" i="1"/>
  <c r="S172" i="1"/>
  <c r="S171" i="1"/>
  <c r="S170" i="1"/>
  <c r="S169" i="1"/>
  <c r="S168" i="1"/>
  <c r="S167" i="1"/>
  <c r="S166" i="1"/>
  <c r="S165" i="1"/>
  <c r="X162" i="1"/>
  <c r="T162" i="1"/>
  <c r="O162" i="1"/>
  <c r="M162" i="1"/>
  <c r="H162" i="1"/>
  <c r="E162" i="1"/>
  <c r="S161" i="1"/>
  <c r="S160" i="1"/>
  <c r="S159" i="1"/>
  <c r="X156" i="1"/>
  <c r="T156" i="1"/>
  <c r="O156" i="1"/>
  <c r="M156" i="1"/>
  <c r="H156" i="1"/>
  <c r="E156" i="1"/>
  <c r="S155" i="1"/>
  <c r="S156" i="1" s="1"/>
  <c r="X153" i="1"/>
  <c r="T153" i="1"/>
  <c r="O153" i="1"/>
  <c r="M153" i="1"/>
  <c r="H153" i="1"/>
  <c r="E153" i="1"/>
  <c r="S152" i="1"/>
  <c r="S151" i="1"/>
  <c r="S150" i="1"/>
  <c r="S149" i="1"/>
  <c r="X146" i="1"/>
  <c r="T146" i="1"/>
  <c r="O146" i="1"/>
  <c r="H146" i="1"/>
  <c r="E146" i="1"/>
  <c r="S143" i="1"/>
  <c r="S142" i="1"/>
  <c r="S141" i="1"/>
  <c r="X138" i="1"/>
  <c r="V138" i="1"/>
  <c r="O138" i="1"/>
  <c r="M138" i="1"/>
  <c r="H138" i="1"/>
  <c r="E138" i="1"/>
  <c r="S137" i="1"/>
  <c r="S136" i="1"/>
  <c r="X130" i="1"/>
  <c r="V130" i="1"/>
  <c r="T130" i="1"/>
  <c r="O130" i="1"/>
  <c r="M130" i="1"/>
  <c r="H130" i="1"/>
  <c r="E130" i="1"/>
  <c r="S129" i="1"/>
  <c r="S130" i="1" s="1"/>
  <c r="V126" i="1"/>
  <c r="M126" i="1"/>
  <c r="V123" i="1"/>
  <c r="M123" i="1"/>
  <c r="H123" i="1"/>
  <c r="E123" i="1"/>
  <c r="S122" i="1"/>
  <c r="S121" i="1"/>
  <c r="S120" i="1"/>
  <c r="S119" i="1"/>
  <c r="S118" i="1"/>
  <c r="S117" i="1"/>
  <c r="S116" i="1"/>
  <c r="S115" i="1"/>
  <c r="S114" i="1"/>
  <c r="S111" i="1"/>
  <c r="V109" i="1"/>
  <c r="M109" i="1"/>
  <c r="E109" i="1"/>
  <c r="S107" i="1"/>
  <c r="S106" i="1"/>
  <c r="S105" i="1"/>
  <c r="S104" i="1"/>
  <c r="S103" i="1"/>
  <c r="S102" i="1"/>
  <c r="S101" i="1"/>
  <c r="S100" i="1"/>
  <c r="X99" i="1"/>
  <c r="V99" i="1"/>
  <c r="T99" i="1"/>
  <c r="O99" i="1"/>
  <c r="M99" i="1"/>
  <c r="H99" i="1"/>
  <c r="E99" i="1"/>
  <c r="S98" i="1"/>
  <c r="S97" i="1"/>
  <c r="S96" i="1"/>
  <c r="S95" i="1"/>
  <c r="X91" i="1"/>
  <c r="V91" i="1"/>
  <c r="T91" i="1"/>
  <c r="O91" i="1"/>
  <c r="M91" i="1"/>
  <c r="H91" i="1"/>
  <c r="E91" i="1"/>
  <c r="S90" i="1"/>
  <c r="S91" i="1" s="1"/>
  <c r="S89" i="1"/>
  <c r="X88" i="1"/>
  <c r="T88" i="1"/>
  <c r="O88" i="1"/>
  <c r="H88" i="1"/>
  <c r="E88" i="1"/>
  <c r="S87" i="1"/>
  <c r="S86" i="1"/>
  <c r="S85" i="1"/>
  <c r="S84" i="1"/>
  <c r="S82" i="1"/>
  <c r="M82" i="1"/>
  <c r="S81" i="1"/>
  <c r="M81" i="1"/>
  <c r="X78" i="1"/>
  <c r="V78" i="1"/>
  <c r="T78" i="1"/>
  <c r="O78" i="1"/>
  <c r="M78" i="1"/>
  <c r="H78" i="1"/>
  <c r="E78" i="1"/>
  <c r="S77" i="1"/>
  <c r="S76" i="1"/>
  <c r="S75" i="1"/>
  <c r="S74" i="1"/>
  <c r="S73" i="1"/>
  <c r="S72" i="1"/>
  <c r="S71" i="1"/>
  <c r="S70" i="1"/>
  <c r="S69" i="1"/>
  <c r="S68" i="1"/>
  <c r="S67" i="1"/>
  <c r="X65" i="1"/>
  <c r="V65" i="1"/>
  <c r="O65" i="1"/>
  <c r="M65" i="1"/>
  <c r="H65" i="1"/>
  <c r="E65" i="1"/>
  <c r="S64" i="1"/>
  <c r="S62" i="1"/>
  <c r="S60" i="1"/>
  <c r="S59" i="1"/>
  <c r="X58" i="1"/>
  <c r="V58" i="1"/>
  <c r="T58" i="1"/>
  <c r="O58" i="1"/>
  <c r="M58" i="1"/>
  <c r="H58" i="1"/>
  <c r="E58" i="1"/>
  <c r="S57" i="1"/>
  <c r="S58" i="1" s="1"/>
  <c r="S56" i="1"/>
  <c r="X55" i="1"/>
  <c r="V55" i="1"/>
  <c r="T55" i="1"/>
  <c r="O55" i="1"/>
  <c r="M55" i="1"/>
  <c r="H55" i="1"/>
  <c r="E55" i="1"/>
  <c r="S54" i="1"/>
  <c r="S55" i="1" s="1"/>
  <c r="S53" i="1"/>
  <c r="X51" i="1"/>
  <c r="V51" i="1"/>
  <c r="T51" i="1"/>
  <c r="O51" i="1"/>
  <c r="M51" i="1"/>
  <c r="H51" i="1"/>
  <c r="E51" i="1"/>
  <c r="S50" i="1"/>
  <c r="S49" i="1"/>
  <c r="S48" i="1"/>
  <c r="S47" i="1"/>
  <c r="H44" i="1"/>
  <c r="E44" i="1"/>
  <c r="S42" i="1"/>
  <c r="S41" i="1"/>
  <c r="S40" i="1"/>
  <c r="T35" i="1"/>
  <c r="O35" i="1"/>
  <c r="H35" i="1"/>
  <c r="S34" i="1"/>
  <c r="S35" i="1" s="1"/>
  <c r="X32" i="1"/>
  <c r="T32" i="1"/>
  <c r="O32" i="1"/>
  <c r="H32" i="1"/>
  <c r="E32" i="1"/>
  <c r="S31" i="1"/>
  <c r="S30" i="1"/>
  <c r="S29" i="1"/>
  <c r="S28" i="1"/>
  <c r="S27" i="1"/>
  <c r="S26" i="1"/>
  <c r="S25" i="1"/>
  <c r="X23" i="1"/>
  <c r="T23" i="1"/>
  <c r="O23" i="1"/>
  <c r="S23" i="1" s="1"/>
  <c r="H23" i="1"/>
  <c r="E23" i="1"/>
  <c r="S22" i="1"/>
  <c r="S21" i="1"/>
  <c r="S20" i="1"/>
  <c r="S19" i="1"/>
  <c r="S18" i="1"/>
  <c r="S17" i="1"/>
  <c r="S15" i="1"/>
  <c r="X12" i="1"/>
  <c r="T12" i="1"/>
  <c r="O12" i="1"/>
  <c r="H12" i="1"/>
  <c r="E12" i="1"/>
  <c r="S11" i="1"/>
  <c r="S10" i="1"/>
  <c r="S9" i="1"/>
  <c r="X7" i="1"/>
  <c r="T7" i="1"/>
  <c r="O7" i="1"/>
  <c r="H7" i="1"/>
  <c r="E7" i="1"/>
  <c r="S6" i="1"/>
  <c r="S5" i="1"/>
  <c r="AB196" i="1"/>
  <c r="AB197" i="1"/>
  <c r="T197" i="1"/>
  <c r="U160" i="1"/>
  <c r="U162" i="1" s="1"/>
  <c r="U156" i="1"/>
  <c r="U143" i="1"/>
  <c r="U91" i="1"/>
  <c r="U55" i="1"/>
  <c r="U64" i="1"/>
  <c r="U65" i="1" s="1"/>
  <c r="X210" i="1"/>
  <c r="X34" i="1" s="1"/>
  <c r="X35" i="1" s="1"/>
  <c r="T137" i="1"/>
  <c r="T138" i="1" s="1"/>
  <c r="T113" i="1"/>
  <c r="T112" i="1"/>
  <c r="T108" i="1"/>
  <c r="T109" i="1" s="1"/>
  <c r="T60" i="1"/>
  <c r="T65" i="1" s="1"/>
  <c r="T43" i="1"/>
  <c r="T44" i="1" s="1"/>
  <c r="T123" i="1" l="1"/>
  <c r="S7" i="1"/>
  <c r="U197" i="1"/>
  <c r="S51" i="1"/>
  <c r="E126" i="1"/>
  <c r="T192" i="1"/>
  <c r="S138" i="1"/>
  <c r="U34" i="1"/>
  <c r="U35" i="1" s="1"/>
  <c r="S65" i="1"/>
  <c r="M88" i="1"/>
  <c r="M198" i="1" s="1"/>
  <c r="O192" i="1"/>
  <c r="U88" i="1"/>
  <c r="S32" i="1"/>
  <c r="S99" i="1"/>
  <c r="S12" i="1"/>
  <c r="S153" i="1"/>
  <c r="S187" i="1"/>
  <c r="S191" i="1"/>
  <c r="U23" i="1"/>
  <c r="U32" i="1" s="1"/>
  <c r="H36" i="1"/>
  <c r="S173" i="1"/>
  <c r="T126" i="1"/>
  <c r="AB195" i="1"/>
  <c r="O36" i="1"/>
  <c r="Z32" i="1" s="1"/>
  <c r="S88" i="1"/>
  <c r="E192" i="1"/>
  <c r="S162" i="1"/>
  <c r="S183" i="1"/>
  <c r="E36" i="1"/>
  <c r="T36" i="1"/>
  <c r="T199" i="1" s="1"/>
  <c r="S146" i="1"/>
  <c r="H192" i="1"/>
  <c r="X192" i="1"/>
  <c r="K12" i="4"/>
  <c r="L12" i="4"/>
  <c r="G12" i="4"/>
  <c r="F12" i="4"/>
  <c r="U183" i="1"/>
  <c r="U173" i="1"/>
  <c r="U153" i="1"/>
  <c r="U146" i="1"/>
  <c r="U123" i="1"/>
  <c r="U109" i="1"/>
  <c r="U78" i="1"/>
  <c r="U51" i="1"/>
  <c r="X36" i="1"/>
  <c r="Z28" i="1" s="1"/>
  <c r="S78" i="1"/>
  <c r="T92" i="1"/>
  <c r="Q31" i="1" l="1"/>
  <c r="U36" i="1"/>
  <c r="S36" i="1"/>
  <c r="Q10" i="1"/>
  <c r="O199" i="1"/>
  <c r="Q21" i="1"/>
  <c r="Q29" i="1"/>
  <c r="Q6" i="1"/>
  <c r="U126" i="1"/>
  <c r="Q35" i="1"/>
  <c r="Q32" i="1"/>
  <c r="Q11" i="1"/>
  <c r="Q30" i="1"/>
  <c r="Q34" i="1"/>
  <c r="Q22" i="1"/>
  <c r="Q18" i="1"/>
  <c r="Q27" i="1"/>
  <c r="Q5" i="1"/>
  <c r="Q15" i="1"/>
  <c r="Q17" i="1"/>
  <c r="Q20" i="1"/>
  <c r="Q28" i="1"/>
  <c r="Q19" i="1"/>
  <c r="Q25" i="1"/>
  <c r="Q26" i="1"/>
  <c r="S192" i="1"/>
  <c r="N12" i="4"/>
  <c r="O12" i="4" s="1"/>
  <c r="J12" i="4"/>
  <c r="U192" i="1"/>
  <c r="U198" i="1" s="1"/>
  <c r="U199" i="1"/>
  <c r="V36" i="1"/>
  <c r="Z10" i="1"/>
  <c r="Z11" i="1"/>
  <c r="Z5" i="1"/>
  <c r="Z18" i="1"/>
  <c r="Z31" i="1"/>
  <c r="Z22" i="1"/>
  <c r="Z25" i="1"/>
  <c r="Z30" i="1"/>
  <c r="Z34" i="1"/>
  <c r="Z26" i="1"/>
  <c r="Z27" i="1"/>
  <c r="Z35" i="1"/>
  <c r="Q12" i="1"/>
  <c r="Z21" i="1"/>
  <c r="Z17" i="1"/>
  <c r="Z20" i="1"/>
  <c r="Z19" i="1"/>
  <c r="Z15" i="1"/>
  <c r="Z6" i="1"/>
  <c r="Z29" i="1"/>
  <c r="T198" i="1"/>
  <c r="T200" i="1" s="1"/>
  <c r="Q7" i="1" l="1"/>
  <c r="Q36" i="1" s="1"/>
  <c r="Q23" i="1"/>
  <c r="Z7" i="1"/>
  <c r="U200" i="1"/>
  <c r="Z12" i="1"/>
  <c r="Z23" i="1"/>
  <c r="AB190" i="1"/>
  <c r="AB189" i="1"/>
  <c r="AB186" i="1"/>
  <c r="AB185" i="1"/>
  <c r="AB182" i="1"/>
  <c r="AB180" i="1"/>
  <c r="AB179" i="1"/>
  <c r="AB178" i="1"/>
  <c r="AB177" i="1"/>
  <c r="AB176" i="1"/>
  <c r="V198" i="1"/>
  <c r="AB172" i="1"/>
  <c r="AB171" i="1"/>
  <c r="AB170" i="1"/>
  <c r="AB169" i="1"/>
  <c r="AB168" i="1"/>
  <c r="AB167" i="1"/>
  <c r="AB166" i="1"/>
  <c r="AB165" i="1"/>
  <c r="AB161" i="1"/>
  <c r="AB160" i="1"/>
  <c r="AB159" i="1"/>
  <c r="AB155" i="1"/>
  <c r="AB156" i="1" s="1"/>
  <c r="AB152" i="1"/>
  <c r="AB151" i="1"/>
  <c r="AB150" i="1"/>
  <c r="AB149" i="1"/>
  <c r="AB143" i="1"/>
  <c r="AB142" i="1"/>
  <c r="AB141" i="1"/>
  <c r="AB137" i="1"/>
  <c r="AB136" i="1"/>
  <c r="AB129" i="1"/>
  <c r="AB130" i="1" s="1"/>
  <c r="AB122" i="1"/>
  <c r="AB121" i="1"/>
  <c r="AB120" i="1"/>
  <c r="AB119" i="1"/>
  <c r="AB118" i="1"/>
  <c r="AB117" i="1"/>
  <c r="AB116" i="1"/>
  <c r="AB115" i="1"/>
  <c r="AB114" i="1"/>
  <c r="X113" i="1"/>
  <c r="AB113" i="1" s="1"/>
  <c r="X112" i="1"/>
  <c r="AB111" i="1"/>
  <c r="X108" i="1"/>
  <c r="AB107" i="1"/>
  <c r="AB106" i="1"/>
  <c r="AB105" i="1"/>
  <c r="AB104" i="1"/>
  <c r="AB103" i="1"/>
  <c r="AB102" i="1"/>
  <c r="AB101" i="1"/>
  <c r="AB100" i="1"/>
  <c r="AB98" i="1"/>
  <c r="AB97" i="1"/>
  <c r="AB96" i="1"/>
  <c r="AB95" i="1"/>
  <c r="AB90" i="1"/>
  <c r="AB91" i="1" s="1"/>
  <c r="AB89" i="1"/>
  <c r="AB87" i="1"/>
  <c r="AB86" i="1"/>
  <c r="AB85" i="1"/>
  <c r="AB84" i="1"/>
  <c r="AB82" i="1"/>
  <c r="AB81" i="1"/>
  <c r="AB77" i="1"/>
  <c r="AB76" i="1"/>
  <c r="AB75" i="1"/>
  <c r="AB74" i="1"/>
  <c r="AB73" i="1"/>
  <c r="AB72" i="1"/>
  <c r="AB71" i="1"/>
  <c r="AB70" i="1"/>
  <c r="AB69" i="1"/>
  <c r="AB68" i="1"/>
  <c r="AB67" i="1"/>
  <c r="AB64" i="1"/>
  <c r="AB62" i="1"/>
  <c r="AB60" i="1"/>
  <c r="AB59" i="1"/>
  <c r="AB57" i="1"/>
  <c r="AB58" i="1" s="1"/>
  <c r="AB56" i="1"/>
  <c r="AB54" i="1"/>
  <c r="AB55" i="1" s="1"/>
  <c r="AB53" i="1"/>
  <c r="AB50" i="1"/>
  <c r="AB49" i="1"/>
  <c r="AB48" i="1"/>
  <c r="AB47" i="1"/>
  <c r="X43" i="1"/>
  <c r="AB42" i="1"/>
  <c r="AB41" i="1"/>
  <c r="AB40" i="1"/>
  <c r="AB34" i="1"/>
  <c r="AB35" i="1" s="1"/>
  <c r="AB31" i="1"/>
  <c r="AB30" i="1"/>
  <c r="AB29" i="1"/>
  <c r="AB28" i="1"/>
  <c r="AB27" i="1"/>
  <c r="AB26" i="1"/>
  <c r="AB25" i="1"/>
  <c r="AB23" i="1"/>
  <c r="AB22" i="1"/>
  <c r="AB21" i="1"/>
  <c r="AB20" i="1"/>
  <c r="AB19" i="1"/>
  <c r="AB18" i="1"/>
  <c r="AB17" i="1"/>
  <c r="AB15" i="1"/>
  <c r="AB11" i="1"/>
  <c r="AB10" i="1"/>
  <c r="AB9" i="1"/>
  <c r="X199" i="1"/>
  <c r="AB6" i="1"/>
  <c r="AB5" i="1"/>
  <c r="AB7" i="1" l="1"/>
  <c r="AB153" i="1"/>
  <c r="AB32" i="1"/>
  <c r="AB187" i="1"/>
  <c r="X109" i="1"/>
  <c r="AB138" i="1"/>
  <c r="Z36" i="1"/>
  <c r="AB51" i="1"/>
  <c r="AB65" i="1"/>
  <c r="AB88" i="1"/>
  <c r="AB191" i="1"/>
  <c r="AB43" i="1"/>
  <c r="AB44" i="1" s="1"/>
  <c r="X44" i="1"/>
  <c r="X92" i="1" s="1"/>
  <c r="AB99" i="1"/>
  <c r="AB12" i="1"/>
  <c r="AB78" i="1"/>
  <c r="AB112" i="1"/>
  <c r="AB123" i="1" s="1"/>
  <c r="X123" i="1"/>
  <c r="AB146" i="1"/>
  <c r="AB173" i="1"/>
  <c r="AB162" i="1"/>
  <c r="AB183" i="1"/>
  <c r="AB108" i="1"/>
  <c r="AB109" i="1" s="1"/>
  <c r="AB36" i="1" l="1"/>
  <c r="X126" i="1"/>
  <c r="X198" i="1" s="1"/>
  <c r="AB192" i="1"/>
  <c r="AB92" i="1"/>
  <c r="O43" i="1"/>
  <c r="F196" i="1"/>
  <c r="F195" i="1"/>
  <c r="F97" i="1"/>
  <c r="F26" i="1"/>
  <c r="F190" i="1"/>
  <c r="F191" i="1" s="1"/>
  <c r="F186" i="1"/>
  <c r="F187" i="1" s="1"/>
  <c r="F182" i="1"/>
  <c r="F180" i="1"/>
  <c r="F179" i="1"/>
  <c r="F178" i="1"/>
  <c r="F177" i="1"/>
  <c r="F176" i="1"/>
  <c r="F172" i="1"/>
  <c r="F171" i="1"/>
  <c r="F170" i="1"/>
  <c r="F168" i="1"/>
  <c r="F167" i="1"/>
  <c r="F166" i="1"/>
  <c r="F165" i="1"/>
  <c r="F164" i="1"/>
  <c r="F161" i="1"/>
  <c r="F159" i="1"/>
  <c r="F160" i="1"/>
  <c r="F155" i="1"/>
  <c r="F156" i="1" s="1"/>
  <c r="F152" i="1"/>
  <c r="F151" i="1"/>
  <c r="F150" i="1"/>
  <c r="F149" i="1"/>
  <c r="F144" i="1"/>
  <c r="F143" i="1"/>
  <c r="F142" i="1"/>
  <c r="F141" i="1"/>
  <c r="F137" i="1"/>
  <c r="F136" i="1"/>
  <c r="F129" i="1"/>
  <c r="F130" i="1" s="1"/>
  <c r="F119" i="1"/>
  <c r="F120" i="1"/>
  <c r="F121" i="1"/>
  <c r="F122" i="1"/>
  <c r="F113" i="1"/>
  <c r="F114" i="1"/>
  <c r="F115" i="1"/>
  <c r="F116" i="1"/>
  <c r="F117" i="1"/>
  <c r="F118" i="1"/>
  <c r="F112" i="1"/>
  <c r="F103" i="1"/>
  <c r="F104" i="1"/>
  <c r="F105" i="1"/>
  <c r="F106" i="1"/>
  <c r="F107" i="1"/>
  <c r="F108" i="1"/>
  <c r="F102" i="1"/>
  <c r="F98" i="1"/>
  <c r="F96" i="1"/>
  <c r="F95" i="1"/>
  <c r="F90" i="1"/>
  <c r="F91" i="1" s="1"/>
  <c r="F82" i="1"/>
  <c r="F84" i="1"/>
  <c r="F85" i="1"/>
  <c r="F86" i="1"/>
  <c r="F87" i="1"/>
  <c r="F81" i="1"/>
  <c r="F77" i="1"/>
  <c r="F70" i="1"/>
  <c r="F71" i="1"/>
  <c r="F72" i="1"/>
  <c r="F73" i="1"/>
  <c r="F74" i="1"/>
  <c r="F75" i="1"/>
  <c r="F76" i="1"/>
  <c r="F69" i="1"/>
  <c r="F59" i="1"/>
  <c r="F65" i="1" s="1"/>
  <c r="F57" i="1"/>
  <c r="F58" i="1" s="1"/>
  <c r="F54" i="1"/>
  <c r="F55" i="1" s="1"/>
  <c r="F48" i="1"/>
  <c r="F49" i="1"/>
  <c r="F50" i="1"/>
  <c r="F51" i="1" s="1"/>
  <c r="F47" i="1"/>
  <c r="F41" i="1"/>
  <c r="F42" i="1"/>
  <c r="F43" i="1"/>
  <c r="F40" i="1"/>
  <c r="F34" i="1"/>
  <c r="F29" i="1"/>
  <c r="F30" i="1"/>
  <c r="F31" i="1"/>
  <c r="F28" i="1"/>
  <c r="F27" i="1"/>
  <c r="F25" i="1"/>
  <c r="F19" i="1"/>
  <c r="F20" i="1"/>
  <c r="F21" i="1"/>
  <c r="F22" i="1"/>
  <c r="F18" i="1"/>
  <c r="F17" i="1"/>
  <c r="F16" i="1"/>
  <c r="F15" i="1"/>
  <c r="F11" i="1"/>
  <c r="F10" i="1"/>
  <c r="F5" i="1"/>
  <c r="F6" i="1"/>
  <c r="Z181" i="1" l="1"/>
  <c r="Z144" i="1"/>
  <c r="Z146" i="1"/>
  <c r="F44" i="1"/>
  <c r="F99" i="1"/>
  <c r="F146" i="1"/>
  <c r="F153" i="1"/>
  <c r="F173" i="1"/>
  <c r="F183" i="1"/>
  <c r="F162" i="1"/>
  <c r="O44" i="1"/>
  <c r="O92" i="1" s="1"/>
  <c r="S43" i="1"/>
  <c r="F32" i="1"/>
  <c r="F88" i="1"/>
  <c r="F7" i="1"/>
  <c r="F123" i="1"/>
  <c r="F138" i="1"/>
  <c r="F23" i="1"/>
  <c r="F12" i="1"/>
  <c r="F78" i="1"/>
  <c r="F109" i="1"/>
  <c r="X200" i="1"/>
  <c r="Z83" i="1"/>
  <c r="Z192" i="1"/>
  <c r="Z186" i="1"/>
  <c r="Z187" i="1" s="1"/>
  <c r="Z195" i="1"/>
  <c r="Z190" i="1"/>
  <c r="Z191" i="1" s="1"/>
  <c r="Z196" i="1"/>
  <c r="Z198" i="1"/>
  <c r="AB126" i="1"/>
  <c r="AB198" i="1" s="1"/>
  <c r="Z179" i="1"/>
  <c r="Z161" i="1"/>
  <c r="Z178" i="1"/>
  <c r="Z165" i="1"/>
  <c r="Z182" i="1"/>
  <c r="Z160" i="1"/>
  <c r="Z180" i="1"/>
  <c r="Z168" i="1"/>
  <c r="Z159" i="1"/>
  <c r="Z169" i="1"/>
  <c r="Z177" i="1"/>
  <c r="Z155" i="1"/>
  <c r="Z156" i="1" s="1"/>
  <c r="Z176" i="1"/>
  <c r="Z172" i="1"/>
  <c r="Z171" i="1"/>
  <c r="Z170" i="1"/>
  <c r="Z167" i="1"/>
  <c r="Z166" i="1"/>
  <c r="Z142" i="1"/>
  <c r="Z116" i="1"/>
  <c r="Z98" i="1"/>
  <c r="Z75" i="1"/>
  <c r="Z57" i="1"/>
  <c r="Z58" i="1" s="1"/>
  <c r="Z108" i="1"/>
  <c r="Z86" i="1"/>
  <c r="Z70" i="1"/>
  <c r="Z47" i="1"/>
  <c r="Z137" i="1"/>
  <c r="Z112" i="1"/>
  <c r="Z84" i="1"/>
  <c r="Z62" i="1"/>
  <c r="Z136" i="1"/>
  <c r="Z107" i="1"/>
  <c r="Z82" i="1"/>
  <c r="Z60" i="1"/>
  <c r="Z129" i="1"/>
  <c r="Z81" i="1"/>
  <c r="Z59" i="1"/>
  <c r="Z120" i="1"/>
  <c r="Z74" i="1"/>
  <c r="Z49" i="1"/>
  <c r="Z106" i="1"/>
  <c r="Z122" i="1"/>
  <c r="Z105" i="1"/>
  <c r="Z77" i="1"/>
  <c r="Z54" i="1"/>
  <c r="Z55" i="1" s="1"/>
  <c r="Z121" i="1"/>
  <c r="Z104" i="1"/>
  <c r="Z76" i="1"/>
  <c r="Z50" i="1"/>
  <c r="Z103" i="1"/>
  <c r="Z143" i="1"/>
  <c r="Z87" i="1"/>
  <c r="Z40" i="1"/>
  <c r="Z141" i="1"/>
  <c r="Z85" i="1"/>
  <c r="Z119" i="1"/>
  <c r="Z73" i="1"/>
  <c r="Z151" i="1"/>
  <c r="Z118" i="1"/>
  <c r="Z72" i="1"/>
  <c r="Z117" i="1"/>
  <c r="Z71" i="1"/>
  <c r="Z69" i="1"/>
  <c r="Z114" i="1"/>
  <c r="Z63" i="1"/>
  <c r="Z152" i="1"/>
  <c r="Z48" i="1"/>
  <c r="Z43" i="1"/>
  <c r="Z150" i="1"/>
  <c r="Z42" i="1"/>
  <c r="Z90" i="1"/>
  <c r="Z91" i="1" s="1"/>
  <c r="Z115" i="1"/>
  <c r="Z64" i="1"/>
  <c r="Z113" i="1"/>
  <c r="Z102" i="1"/>
  <c r="Z97" i="1"/>
  <c r="Z96" i="1"/>
  <c r="Z149" i="1"/>
  <c r="Z41" i="1"/>
  <c r="Z126" i="1"/>
  <c r="F197" i="1"/>
  <c r="F192" i="1" l="1"/>
  <c r="F126" i="1"/>
  <c r="F36" i="1"/>
  <c r="S44" i="1"/>
  <c r="S92" i="1"/>
  <c r="Z162" i="1"/>
  <c r="Z138" i="1"/>
  <c r="Z197" i="1"/>
  <c r="Z153" i="1"/>
  <c r="Z99" i="1"/>
  <c r="Z44" i="1"/>
  <c r="Z123" i="1"/>
  <c r="Z109" i="1"/>
  <c r="Z173" i="1"/>
  <c r="Z51" i="1"/>
  <c r="Z65" i="1"/>
  <c r="Z88" i="1"/>
  <c r="Z183" i="1"/>
  <c r="O113" i="1"/>
  <c r="O112" i="1"/>
  <c r="S113" i="1" l="1"/>
  <c r="S112" i="1"/>
  <c r="O123" i="1"/>
  <c r="E92" i="1"/>
  <c r="E199" i="1"/>
  <c r="S123" i="1" l="1"/>
  <c r="E198" i="1"/>
  <c r="E200" i="1" s="1"/>
  <c r="E202" i="1"/>
  <c r="F199" i="1"/>
  <c r="F92" i="1"/>
  <c r="F198" i="1" s="1"/>
  <c r="F200" i="1" l="1"/>
  <c r="O108" i="1"/>
  <c r="S108" i="1" l="1"/>
  <c r="O109" i="1"/>
  <c r="O126" i="1" s="1"/>
  <c r="O198" i="1" s="1"/>
  <c r="Q108" i="1" s="1"/>
  <c r="H107" i="1"/>
  <c r="H108" i="1"/>
  <c r="H109" i="1" l="1"/>
  <c r="H126" i="1" s="1"/>
  <c r="Q126" i="1"/>
  <c r="Q117" i="1"/>
  <c r="Q182" i="1"/>
  <c r="Z78" i="1"/>
  <c r="Q122" i="1"/>
  <c r="Q77" i="1"/>
  <c r="Q190" i="1"/>
  <c r="Q191" i="1" s="1"/>
  <c r="Q177" i="1"/>
  <c r="Q166" i="1"/>
  <c r="Q121" i="1"/>
  <c r="Q57" i="1"/>
  <c r="Q58" i="1" s="1"/>
  <c r="Q96" i="1"/>
  <c r="Q165" i="1"/>
  <c r="Q114" i="1"/>
  <c r="Q59" i="1"/>
  <c r="Q75" i="1"/>
  <c r="Q104" i="1"/>
  <c r="Q170" i="1"/>
  <c r="Q49" i="1"/>
  <c r="Q119" i="1"/>
  <c r="Q169" i="1"/>
  <c r="Q64" i="1"/>
  <c r="Q130" i="1"/>
  <c r="Q63" i="1"/>
  <c r="Q118" i="1"/>
  <c r="Q42" i="1"/>
  <c r="Q85" i="1"/>
  <c r="Q176" i="1"/>
  <c r="Q160" i="1"/>
  <c r="Q178" i="1"/>
  <c r="Q74" i="1"/>
  <c r="Q159" i="1"/>
  <c r="Q103" i="1"/>
  <c r="Q167" i="1"/>
  <c r="Q54" i="1"/>
  <c r="Q55" i="1" s="1"/>
  <c r="Q116" i="1"/>
  <c r="Q71" i="1"/>
  <c r="Q107" i="1"/>
  <c r="Q136" i="1"/>
  <c r="Q155" i="1"/>
  <c r="Q156" i="1" s="1"/>
  <c r="Q76" i="1"/>
  <c r="Q81" i="1"/>
  <c r="Q47" i="1"/>
  <c r="Q141" i="1"/>
  <c r="Q106" i="1"/>
  <c r="Q40" i="1"/>
  <c r="Q87" i="1"/>
  <c r="Q98" i="1"/>
  <c r="Q161" i="1"/>
  <c r="Q97" i="1"/>
  <c r="Q172" i="1"/>
  <c r="Q171" i="1"/>
  <c r="Q69" i="1"/>
  <c r="Q82" i="1"/>
  <c r="Q192" i="1"/>
  <c r="O200" i="1"/>
  <c r="Q149" i="1"/>
  <c r="Q72" i="1"/>
  <c r="Q143" i="1"/>
  <c r="Q115" i="1"/>
  <c r="Q62" i="1"/>
  <c r="Q70" i="1"/>
  <c r="Q180" i="1"/>
  <c r="Q142" i="1"/>
  <c r="Q60" i="1"/>
  <c r="Q73" i="1"/>
  <c r="Q179" i="1"/>
  <c r="Q84" i="1"/>
  <c r="Q78" i="1"/>
  <c r="Q152" i="1"/>
  <c r="Q48" i="1"/>
  <c r="Q198" i="1"/>
  <c r="Q90" i="1"/>
  <c r="Q91" i="1" s="1"/>
  <c r="Q151" i="1"/>
  <c r="Q105" i="1"/>
  <c r="Q150" i="1"/>
  <c r="Z130" i="1"/>
  <c r="Q129" i="1"/>
  <c r="Q86" i="1"/>
  <c r="Q102" i="1"/>
  <c r="Q186" i="1"/>
  <c r="Q187" i="1" s="1"/>
  <c r="Q41" i="1"/>
  <c r="Q50" i="1"/>
  <c r="Q120" i="1"/>
  <c r="Q137" i="1"/>
  <c r="Q168" i="1"/>
  <c r="Z92" i="1"/>
  <c r="Q43" i="1"/>
  <c r="Q92" i="1"/>
  <c r="Q112" i="1"/>
  <c r="Q113" i="1"/>
  <c r="S109" i="1"/>
  <c r="S126" i="1" s="1"/>
  <c r="S198" i="1" s="1"/>
  <c r="J26" i="1"/>
  <c r="H92" i="1"/>
  <c r="H198" i="1" s="1"/>
  <c r="Q162" i="1" l="1"/>
  <c r="Q109" i="1"/>
  <c r="Q183" i="1"/>
  <c r="Q138" i="1"/>
  <c r="Q146" i="1"/>
  <c r="Q99" i="1"/>
  <c r="Q51" i="1"/>
  <c r="Q65" i="1"/>
  <c r="Q123" i="1"/>
  <c r="Q44" i="1"/>
  <c r="Q88" i="1"/>
  <c r="Q153" i="1"/>
  <c r="Q173" i="1"/>
  <c r="J20" i="1"/>
  <c r="H199" i="1"/>
  <c r="J5" i="1"/>
  <c r="J15" i="1"/>
  <c r="J6" i="1"/>
  <c r="J17" i="1"/>
  <c r="J22" i="1"/>
  <c r="J28" i="1"/>
  <c r="J31" i="1"/>
  <c r="J10" i="1"/>
  <c r="J21" i="1"/>
  <c r="J11" i="1"/>
  <c r="J25" i="1"/>
  <c r="J34" i="1"/>
  <c r="J35" i="1" s="1"/>
  <c r="J29" i="1"/>
  <c r="J30" i="1"/>
  <c r="J27" i="1"/>
  <c r="J18" i="1"/>
  <c r="J19" i="1"/>
  <c r="J23" i="1" l="1"/>
  <c r="J32" i="1"/>
  <c r="J12" i="1"/>
  <c r="J7" i="1"/>
  <c r="J36" i="1" s="1"/>
  <c r="J59" i="1"/>
  <c r="J97" i="1"/>
  <c r="J198" i="1"/>
  <c r="J92" i="1"/>
  <c r="J40" i="1"/>
  <c r="J126" i="1"/>
  <c r="J130" i="1"/>
  <c r="J177" i="1"/>
  <c r="J72" i="1"/>
  <c r="J168" i="1"/>
  <c r="J47" i="1"/>
  <c r="J115" i="1"/>
  <c r="J171" i="1"/>
  <c r="J103" i="1"/>
  <c r="J172" i="1"/>
  <c r="J82" i="1"/>
  <c r="J170" i="1"/>
  <c r="J41" i="1"/>
  <c r="J116" i="1"/>
  <c r="J178" i="1"/>
  <c r="J118" i="1"/>
  <c r="J90" i="1"/>
  <c r="J91" i="1" s="1"/>
  <c r="J142" i="1"/>
  <c r="J42" i="1"/>
  <c r="H200" i="1"/>
  <c r="J149" i="1"/>
  <c r="J75" i="1"/>
  <c r="J160" i="1"/>
  <c r="J159" i="1"/>
  <c r="J84" i="1"/>
  <c r="J112" i="1"/>
  <c r="J117" i="1"/>
  <c r="J108" i="1"/>
  <c r="J141" i="1"/>
  <c r="J70" i="1"/>
  <c r="J49" i="1"/>
  <c r="J167" i="1"/>
  <c r="J155" i="1"/>
  <c r="J156" i="1" s="1"/>
  <c r="J69" i="1"/>
  <c r="J74" i="1"/>
  <c r="J76" i="1"/>
  <c r="J71" i="1"/>
  <c r="J166" i="1"/>
  <c r="J192" i="1"/>
  <c r="J179" i="1"/>
  <c r="J105" i="1"/>
  <c r="J54" i="1"/>
  <c r="J55" i="1" s="1"/>
  <c r="J190" i="1"/>
  <c r="J191" i="1" s="1"/>
  <c r="J143" i="1"/>
  <c r="J150" i="1"/>
  <c r="J50" i="1"/>
  <c r="J102" i="1"/>
  <c r="J64" i="1"/>
  <c r="J96" i="1"/>
  <c r="J129" i="1"/>
  <c r="J57" i="1"/>
  <c r="J58" i="1" s="1"/>
  <c r="J180" i="1"/>
  <c r="J136" i="1"/>
  <c r="J104" i="1"/>
  <c r="J151" i="1"/>
  <c r="J122" i="1"/>
  <c r="J81" i="1"/>
  <c r="J161" i="1"/>
  <c r="J169" i="1"/>
  <c r="J85" i="1"/>
  <c r="J113" i="1"/>
  <c r="J48" i="1"/>
  <c r="J176" i="1"/>
  <c r="J183" i="1" s="1"/>
  <c r="J107" i="1"/>
  <c r="J73" i="1"/>
  <c r="J106" i="1"/>
  <c r="J121" i="1"/>
  <c r="J182" i="1"/>
  <c r="J86" i="1"/>
  <c r="J186" i="1"/>
  <c r="J187" i="1" s="1"/>
  <c r="J137" i="1"/>
  <c r="J114" i="1"/>
  <c r="J165" i="1"/>
  <c r="J152" i="1"/>
  <c r="J43" i="1"/>
  <c r="J98" i="1"/>
  <c r="J87" i="1"/>
  <c r="J162" i="1" l="1"/>
  <c r="J109" i="1"/>
  <c r="J99" i="1"/>
  <c r="J78" i="1"/>
  <c r="J88" i="1"/>
  <c r="J153" i="1"/>
  <c r="J65" i="1"/>
  <c r="J173" i="1"/>
  <c r="J51" i="1"/>
  <c r="J146" i="1"/>
  <c r="J123" i="1"/>
  <c r="J44" i="1"/>
  <c r="J138" i="1"/>
</calcChain>
</file>

<file path=xl/sharedStrings.xml><?xml version="1.0" encoding="utf-8"?>
<sst xmlns="http://schemas.openxmlformats.org/spreadsheetml/2006/main" count="594" uniqueCount="322">
  <si>
    <t>5000.0 · Income</t>
  </si>
  <si>
    <t>5003.0 · Fire Department Income</t>
  </si>
  <si>
    <t>5003.5 · FD Reserve Transfer</t>
  </si>
  <si>
    <t>5004.0 · Other Income</t>
  </si>
  <si>
    <t>5004.2 · Purchase Card Rebate</t>
  </si>
  <si>
    <t>5005.0 · San Bernardino County Tax Share</t>
  </si>
  <si>
    <t>Expense</t>
  </si>
  <si>
    <t>1000.0 · ADMINISTRATION</t>
  </si>
  <si>
    <t>1003.0 · Auditor</t>
  </si>
  <si>
    <t>1004.0 · Bank Fees</t>
  </si>
  <si>
    <t>1006.0 · Education</t>
  </si>
  <si>
    <t>1006.1 · Education, Tuition</t>
  </si>
  <si>
    <t>1008.0 · LAFCO</t>
  </si>
  <si>
    <t>1009.0 · Legal Expenses</t>
  </si>
  <si>
    <t>1010.0 · Office Expenses</t>
  </si>
  <si>
    <t>1010.1 · Office Supplies</t>
  </si>
  <si>
    <t>1010.2 · Office Equipment, Maint/Repair</t>
  </si>
  <si>
    <t>1010.4 · Postage/Shipping</t>
  </si>
  <si>
    <t>1010.5 · Office Telephone</t>
  </si>
  <si>
    <t>1010.7 · Office Internet</t>
  </si>
  <si>
    <t>1012.0 · Admin. Personnel Expense</t>
  </si>
  <si>
    <t>1012.5 · Payroll Tax Payment</t>
  </si>
  <si>
    <t>1012.8 · Workers Comp Insurance</t>
  </si>
  <si>
    <t>2000.0 · PARK &amp; RECREATION</t>
  </si>
  <si>
    <t>2001.0 · Community Events</t>
  </si>
  <si>
    <t>2001.2 · Community Events, Expenses</t>
  </si>
  <si>
    <t>2002.0 · Community Center Expenses</t>
  </si>
  <si>
    <t>2003.0 · Grounds Expenses</t>
  </si>
  <si>
    <t>3001.0 · Street Lights</t>
  </si>
  <si>
    <t>4002.0 · Capital Improvements</t>
  </si>
  <si>
    <t>4003.0 · Equipment Expense, Vehicle</t>
  </si>
  <si>
    <t>4003.1 · Equip. Exp., Vehicle, Fuel</t>
  </si>
  <si>
    <t>4003.2 · Equip Exp Vehicle, Maint/Repair</t>
  </si>
  <si>
    <t>4004.0 · Equip Exp, Non-Vehicle</t>
  </si>
  <si>
    <t>4004.1 · Equip Exp Non-Vehicle, Purchase</t>
  </si>
  <si>
    <t>4004.3 · Equip Exp Non-Vehicle, 1st Aid</t>
  </si>
  <si>
    <t>4004.4 · Equip Exp Non-Vehicle, Fuel</t>
  </si>
  <si>
    <t>4007.0 · Firefighter Personnel Expenses</t>
  </si>
  <si>
    <t>5001.0 - Income - Interest</t>
  </si>
  <si>
    <t>5001.2 - Income - Interest, CD Interest</t>
  </si>
  <si>
    <t>5001.3 - Income-Interest, Savings Acct.</t>
  </si>
  <si>
    <t>5002.0-Income-Rental Income</t>
  </si>
  <si>
    <t>5002.1 Income-Rent Income, Space Rent</t>
  </si>
  <si>
    <t>5002.2 Income-Rent Income, Equip Rent</t>
  </si>
  <si>
    <t>5004.3 - Copies</t>
  </si>
  <si>
    <t>5004.4 Other Income-Fireworks Donations</t>
  </si>
  <si>
    <t>5004.5 Other Income-Misc Income</t>
  </si>
  <si>
    <t>5004.6 Other Income-Legal Settlement</t>
  </si>
  <si>
    <t>1006.2 · Education, Books</t>
  </si>
  <si>
    <t>1006.3 · Education, Lodging</t>
  </si>
  <si>
    <t>1006.4 · Education, Mileage Reimbursement</t>
  </si>
  <si>
    <t>1007.0 Election Expenses</t>
  </si>
  <si>
    <t>2002.2 CC-Electricity</t>
  </si>
  <si>
    <t>2002.3 CC-Propane</t>
  </si>
  <si>
    <t>2002.4 CC-Contract Labor, Cleaning</t>
  </si>
  <si>
    <t>2002.5 CC-Health Permits</t>
  </si>
  <si>
    <t>2002.7 CC-Pest Control</t>
  </si>
  <si>
    <t>2002.6 CC-Maint/Repair</t>
  </si>
  <si>
    <t>Per Month</t>
  </si>
  <si>
    <t>2003.1 Grounds-Contract Labor, Landscaping</t>
  </si>
  <si>
    <t>2003.2 Grounds-Disposal Services</t>
  </si>
  <si>
    <t>2003.4 Grounds-Maint/Repair, Grounds</t>
  </si>
  <si>
    <t>2003.5 Grounds-Well Maint/Repair</t>
  </si>
  <si>
    <t>2003.6 Grounds-MWA Fees</t>
  </si>
  <si>
    <t>2003.7 Grounds-Capital Improvement</t>
  </si>
  <si>
    <t>2003.8 Grounds-Park, Electric</t>
  </si>
  <si>
    <t>2003.9 Grounds-Water Testing</t>
  </si>
  <si>
    <t>3000.0 · STREET LIGHTS/Municipal Services</t>
  </si>
  <si>
    <t>4005.3 FD-Disp Exp, Cal Fire Dispatch</t>
  </si>
  <si>
    <t>4005.2 FD-Equipment Maint/Repair</t>
  </si>
  <si>
    <t>4005.1 FD-Equipment Purchase</t>
  </si>
  <si>
    <t>4005.0 FD·Dispatching Expense</t>
  </si>
  <si>
    <t>4006.0 FD-Station Expenses</t>
  </si>
  <si>
    <t>4006.1 FD-Internet/Phone Service</t>
  </si>
  <si>
    <t>4006.2 FD-Station, Maint/Repair</t>
  </si>
  <si>
    <t>4006.3 FD-Office Supplies</t>
  </si>
  <si>
    <t>4006.4 FD-Pest Control</t>
  </si>
  <si>
    <t>4006.6 FD-Station, Electric</t>
  </si>
  <si>
    <t>4006.7 FD-Drinking Water</t>
  </si>
  <si>
    <t>4006.8 FD-Trash Service</t>
  </si>
  <si>
    <t>4007.10 FD-Personnel Exp, Uniform Expense</t>
  </si>
  <si>
    <t>4007.4 FD-Firefighter Appreciation</t>
  </si>
  <si>
    <t>4007.5 FD-Firefighter Callout Stipend</t>
  </si>
  <si>
    <t>4007.6 FD-Training Exp, Cert./Books/Etc.</t>
  </si>
  <si>
    <t>4007.8 FD-DOJ Live Scan</t>
  </si>
  <si>
    <t>4008.0 FD-Public Relations</t>
  </si>
  <si>
    <t>4008.1 FD-Prevention</t>
  </si>
  <si>
    <t>4010.0 FD-Explorer's Expenses</t>
  </si>
  <si>
    <t>4010.1 FD-Explorer's Expenses Admin.</t>
  </si>
  <si>
    <t>4004.5 FD-Grant Expenses</t>
  </si>
  <si>
    <t>1013 SDRMA Insurance-Liab/Bonding</t>
  </si>
  <si>
    <t xml:space="preserve">% of </t>
  </si>
  <si>
    <t>5003.4 FD-Donations</t>
  </si>
  <si>
    <t>5003.3 FD Grant Income</t>
  </si>
  <si>
    <t>4002.3 Bunk House Installation</t>
  </si>
  <si>
    <t>5003.6 General Fund Reserve Transfer to FD/Bunkhouse</t>
  </si>
  <si>
    <t>5003.2 · FD Response Charges/EFT</t>
  </si>
  <si>
    <t>1001.0 - Advertising</t>
  </si>
  <si>
    <t>2003.3 Grounds-Maint/Repair, Tractor Expense Equipment</t>
  </si>
  <si>
    <t>5001.0 - Income - Interest Total</t>
  </si>
  <si>
    <t>5002.0-Income-Rental Income Total</t>
  </si>
  <si>
    <t>5003.0 · Fire Department Income Total</t>
  </si>
  <si>
    <t>5004.0 · Other Income Total</t>
  </si>
  <si>
    <t>5005.0 · San Bernardino County Tax Share Total</t>
  </si>
  <si>
    <t>1012.7 · Department of Justice-Live Scan</t>
  </si>
  <si>
    <t>1012.9 · Staff Mileage</t>
  </si>
  <si>
    <t>1000.0 · ADMINISTRATION Total</t>
  </si>
  <si>
    <t>1006.0 · Education Total</t>
  </si>
  <si>
    <t>1009.0 · Legal Expenses Total</t>
  </si>
  <si>
    <t>1010.0 · Office Expenses Total</t>
  </si>
  <si>
    <t>1012.0 · Admin. Personnel Expense Total</t>
  </si>
  <si>
    <t>1013 SDRMA Insurance-Liab/Bonding Total</t>
  </si>
  <si>
    <t>2001.0 · Community Events Total</t>
  </si>
  <si>
    <t>2002.0 · Community Center Expenses Total</t>
  </si>
  <si>
    <t>2003.0 · Grounds Expenses Total</t>
  </si>
  <si>
    <t>Total 2000.0 · PARK &amp; RECREATION Total</t>
  </si>
  <si>
    <t>3000.0 · STREET LIGHTS/Municipal Services Total</t>
  </si>
  <si>
    <t>4000.0 · FIRE DEPARTMENT Total</t>
  </si>
  <si>
    <t>4002.0 · Capital Improvements Total</t>
  </si>
  <si>
    <t>4003.0 · Equipment Expense, Vehicle Total</t>
  </si>
  <si>
    <t>4004.0 · Equip Exp, Non-Vehicle Total</t>
  </si>
  <si>
    <t>4004.5 FD-Grant Expenses Total</t>
  </si>
  <si>
    <t>4005.0 FD·Dispatching Expense Total</t>
  </si>
  <si>
    <t>4006.0 FD-Station Expenses Total</t>
  </si>
  <si>
    <t>4007.0 · Firefighter Personnel Expenses Total</t>
  </si>
  <si>
    <t>4008.0 FD-Public Relations Total</t>
  </si>
  <si>
    <t>4010.0 FD-Explorer's Expenses Total</t>
  </si>
  <si>
    <t>4000.0 Fire Department - Subtotal</t>
  </si>
  <si>
    <t>4000.1 Other Miscellaneous</t>
  </si>
  <si>
    <t>12 sets of gear</t>
  </si>
  <si>
    <t>Income</t>
  </si>
  <si>
    <t>2003.71 Ball Park</t>
  </si>
  <si>
    <t>30%+of SDRMA</t>
  </si>
  <si>
    <t>70%of SDRMA</t>
  </si>
  <si>
    <t>Expense Grand Total</t>
  </si>
  <si>
    <t>2003.72 Fitness Park</t>
  </si>
  <si>
    <t>5004.8 Other Income-Fitness Park Grant   14000.00</t>
  </si>
  <si>
    <t>1010.3 · Office Equipment, Purchase</t>
  </si>
  <si>
    <t>Grand Total Income</t>
  </si>
  <si>
    <t>5003.41 FD Donations-Supv Rowe Discretionary Funds</t>
  </si>
  <si>
    <t>2001.1 - Community Event-Advertising</t>
  </si>
  <si>
    <t>1012.2 · Salary, General Manager</t>
  </si>
  <si>
    <t>4004.2 · Equip Exp Non-Vehicle, Maint/Repair</t>
  </si>
  <si>
    <t>4007.1 FD-Fire Dept Office Administrator</t>
  </si>
  <si>
    <t>4003.3 - FD-Equip Exp. Veh, SDRMA Ins</t>
  </si>
  <si>
    <t>1009.2 - Legal Expenses - Howard vs NCSD</t>
  </si>
  <si>
    <t>1010.6 · Subscriptions/ Membership Fees</t>
  </si>
  <si>
    <t>Burn Permits</t>
  </si>
  <si>
    <t>4003.4 E392 KME Engine Equipment</t>
  </si>
  <si>
    <t>Estimated Actuals</t>
  </si>
  <si>
    <t>Wages</t>
  </si>
  <si>
    <t>Taxes</t>
  </si>
  <si>
    <t>$25/yr</t>
  </si>
  <si>
    <t>FD doing Policy for Community Burn</t>
  </si>
  <si>
    <t>$65.87/Mo</t>
  </si>
  <si>
    <t>Only Yr Permit</t>
  </si>
  <si>
    <t>Includes 6 Special Mtgs</t>
  </si>
  <si>
    <t>Election this year for 2 directors</t>
  </si>
  <si>
    <t xml:space="preserve">1010.9 · Bookkeeping Services Eide Bailly  </t>
  </si>
  <si>
    <t>1010.8 - Bookkeeping Services Stewart's</t>
  </si>
  <si>
    <t>Ground Cover 10yr</t>
  </si>
  <si>
    <t>Burrtec+Alan</t>
  </si>
  <si>
    <r>
      <t>Rat eradication in Station 391</t>
    </r>
    <r>
      <rPr>
        <b/>
        <sz val="12"/>
        <color rgb="FFFF0000"/>
        <rFont val="Arial"/>
        <family val="2"/>
      </rPr>
      <t xml:space="preserve"> NCSD will do</t>
    </r>
  </si>
  <si>
    <t>Currently 18.41 hourly</t>
  </si>
  <si>
    <t>Income Minus Expenses</t>
  </si>
  <si>
    <t>1012.1 · Salary, Board Secretary</t>
  </si>
  <si>
    <t>1005.0 · Director Stipends</t>
  </si>
  <si>
    <t>3000.0 · STREET LIGHTS /Municipal Services</t>
  </si>
  <si>
    <t>$6,000 possible</t>
  </si>
  <si>
    <t>Actuals a/o 4/23/25</t>
  </si>
  <si>
    <t>FY 2024/2025</t>
  </si>
  <si>
    <t>Budget  FY 2024/2025</t>
  </si>
  <si>
    <t>5004.11 Kickball Tournament Income</t>
  </si>
  <si>
    <t>2001.21 · Annual Kickball Tournament Expenses</t>
  </si>
  <si>
    <t>Payroll Expenses</t>
  </si>
  <si>
    <t>Total for Payroll Expenses</t>
  </si>
  <si>
    <t>1000 Admin Total</t>
  </si>
  <si>
    <t>FY 2025/2026 Changes</t>
  </si>
  <si>
    <t>Proposed Budget  FY 2025/2026</t>
  </si>
  <si>
    <t xml:space="preserve"> FY 2025/2026 Budget</t>
  </si>
  <si>
    <t>FY 2025/2026 Budget</t>
  </si>
  <si>
    <t>1009.3 Legal Expenses -Howard vs NCSD Mileage  182 mi @ $.70/mi</t>
  </si>
  <si>
    <t>*</t>
  </si>
  <si>
    <t>Nov. 2026 is the next CSD Election</t>
  </si>
  <si>
    <t xml:space="preserve">4006.5 FD-Membership/Subscriptions, </t>
  </si>
  <si>
    <t>1012.3 - Salary, Bookkeeper</t>
  </si>
  <si>
    <t>Budget $ Approved</t>
  </si>
  <si>
    <t>SBO Tax Estimate</t>
  </si>
  <si>
    <t>For 2025/2026</t>
  </si>
  <si>
    <t>Total</t>
  </si>
  <si>
    <t>Information Received 10/23/25</t>
  </si>
  <si>
    <t xml:space="preserve"> 2024/2025 Budget</t>
  </si>
  <si>
    <t>FY 2026/2027 Changes</t>
  </si>
  <si>
    <t>Proposed Budget  FY 2026/2027</t>
  </si>
  <si>
    <t xml:space="preserve"> FY 2026/2027 Budget</t>
  </si>
  <si>
    <t>FY 2026/2027 Budget</t>
  </si>
  <si>
    <t>Approved Budget  FY 2025/2026</t>
  </si>
  <si>
    <r>
      <t>5003.1 · FD Burn Permits</t>
    </r>
    <r>
      <rPr>
        <sz val="12"/>
        <color rgb="FFFF0000"/>
        <rFont val="Arial"/>
        <family val="2"/>
      </rPr>
      <t>/Fire Letters</t>
    </r>
  </si>
  <si>
    <t>626.18???</t>
  </si>
  <si>
    <t>Payroll Calculations</t>
  </si>
  <si>
    <t>$/hr</t>
  </si>
  <si>
    <t>Hrs</t>
  </si>
  <si>
    <t>Gross</t>
  </si>
  <si>
    <t>Net</t>
  </si>
  <si>
    <t>SS</t>
  </si>
  <si>
    <t>Medicare</t>
  </si>
  <si>
    <t>Fed Tax</t>
  </si>
  <si>
    <t>St Tax</t>
  </si>
  <si>
    <t>NCSD SS</t>
  </si>
  <si>
    <t>GM</t>
  </si>
  <si>
    <t>Sick Leave</t>
  </si>
  <si>
    <t>Vacation</t>
  </si>
  <si>
    <t>1009.4 - Workplace Violence ????? Not Budgeted</t>
  </si>
  <si>
    <t>1008.0 · LAFCO Total</t>
  </si>
  <si>
    <t>Secretary</t>
  </si>
  <si>
    <t>2025-2026 Estimated Actuals</t>
  </si>
  <si>
    <t>Bookkeeper</t>
  </si>
  <si>
    <t>Estimated</t>
  </si>
  <si>
    <t>11/01-11/30/2016</t>
  </si>
  <si>
    <t>NCSD</t>
  </si>
  <si>
    <t>Comp</t>
  </si>
  <si>
    <t xml:space="preserve">Worker </t>
  </si>
  <si>
    <t xml:space="preserve"> NCSD</t>
  </si>
  <si>
    <t>Cost to</t>
  </si>
  <si>
    <t xml:space="preserve">Cost to </t>
  </si>
  <si>
    <t>Treasurer</t>
  </si>
  <si>
    <t>?</t>
  </si>
  <si>
    <t>2025-2026</t>
  </si>
  <si>
    <t>hr rate</t>
  </si>
  <si>
    <t>$/hr*hrs</t>
  </si>
  <si>
    <t>=-Gross*6.2%</t>
  </si>
  <si>
    <t>=-Gross*1.45%</t>
  </si>
  <si>
    <t>Est</t>
  </si>
  <si>
    <t>Sum(Gross--Est St Tax)</t>
  </si>
  <si>
    <t>=Gross*6.2%</t>
  </si>
  <si>
    <t>=Gross*1.45%</t>
  </si>
  <si>
    <t>Unknown</t>
  </si>
  <si>
    <t>40hrs*$/hr</t>
  </si>
  <si>
    <t>Calculate Sick Leave Costs</t>
  </si>
  <si>
    <t>Yearly</t>
  </si>
  <si>
    <t>Weekly</t>
  </si>
  <si>
    <t>12hrs*$/hr</t>
  </si>
  <si>
    <t>2026-2027</t>
  </si>
  <si>
    <t>=52*Cost to NCSD</t>
  </si>
  <si>
    <t>Gross+SS+Medicare</t>
  </si>
  <si>
    <t>Fire Chief</t>
  </si>
  <si>
    <t>FD Admin</t>
  </si>
  <si>
    <t>Cost of Living 2025</t>
  </si>
  <si>
    <t>Formulas=</t>
  </si>
  <si>
    <t>#hrs / week</t>
  </si>
  <si>
    <t>4007.11 FD Fire Chief</t>
  </si>
  <si>
    <t>+1000</t>
  </si>
  <si>
    <t>+500</t>
  </si>
  <si>
    <t>+50</t>
  </si>
  <si>
    <t>+300</t>
  </si>
  <si>
    <t>+3000</t>
  </si>
  <si>
    <t>+3380</t>
  </si>
  <si>
    <t>NEW   $25/hr</t>
  </si>
  <si>
    <t>+100</t>
  </si>
  <si>
    <t>COL +1000</t>
  </si>
  <si>
    <t>Currently 23.41 hr</t>
  </si>
  <si>
    <t>COLA +5000</t>
  </si>
  <si>
    <t>Fire Department Justification</t>
  </si>
  <si>
    <t>Labor maintenance &amp; parts</t>
  </si>
  <si>
    <t>E392 Parts only</t>
  </si>
  <si>
    <t>Radio-Programing/Repairs</t>
  </si>
  <si>
    <t>Cost of Living</t>
  </si>
  <si>
    <t>+5000</t>
  </si>
  <si>
    <t>Dispatch/T/C 3%Approximately</t>
  </si>
  <si>
    <t>Starlink</t>
  </si>
  <si>
    <t>Verizon 3 Ipads, 1Phone</t>
  </si>
  <si>
    <t>Rounded up to $3,300</t>
  </si>
  <si>
    <t>Microsoft</t>
  </si>
  <si>
    <t>Adobe</t>
  </si>
  <si>
    <t>Open AI</t>
  </si>
  <si>
    <t>Office Supplies</t>
  </si>
  <si>
    <t>Only need them 6 mo April-=Sept.</t>
  </si>
  <si>
    <t>Emergency Reporting</t>
  </si>
  <si>
    <t>Streamline</t>
  </si>
  <si>
    <t>Active 911</t>
  </si>
  <si>
    <t>Rylan Lanier, New Admin</t>
  </si>
  <si>
    <t>Est includes SS+Med</t>
  </si>
  <si>
    <t>NREMT 107*12</t>
  </si>
  <si>
    <t>Vector</t>
  </si>
  <si>
    <t>CPR $85*16</t>
  </si>
  <si>
    <t>Nancan  $25*12</t>
  </si>
  <si>
    <t>Rounded up to $5,000</t>
  </si>
  <si>
    <t>Prices are up</t>
  </si>
  <si>
    <t>Prices up</t>
  </si>
  <si>
    <t>4007.5 Stipends Retention</t>
  </si>
  <si>
    <t xml:space="preserve"> -Bonus' @ $10,000/yr *3=$30,000</t>
  </si>
  <si>
    <t>4007.1 Admin</t>
  </si>
  <si>
    <t>-Grant management Support=$5,000/year</t>
  </si>
  <si>
    <t>4006.3 Office</t>
  </si>
  <si>
    <t>laptop/printer/mobile access</t>
  </si>
  <si>
    <t>4006.5 Membership/Subscriptions</t>
  </si>
  <si>
    <t>Website Upgrade/online portal</t>
  </si>
  <si>
    <t>4007.6 Training</t>
  </si>
  <si>
    <t>-FF1@$5000</t>
  </si>
  <si>
    <t>-EMT@$1500</t>
  </si>
  <si>
    <t>-Up to 5FFs for 3 years @ $97,500</t>
  </si>
  <si>
    <t>-Gear * 12FF</t>
  </si>
  <si>
    <t>Boots</t>
  </si>
  <si>
    <t>Gloves</t>
  </si>
  <si>
    <t>Jacket &amp; pants</t>
  </si>
  <si>
    <t>4004.1 Non Veh Purchase</t>
  </si>
  <si>
    <t>Safer Grant will cover most of line items:</t>
  </si>
  <si>
    <t>-Helmet</t>
  </si>
  <si>
    <t>Do we bill for freeway calls?</t>
  </si>
  <si>
    <t>12hr/week $16.20/hr</t>
  </si>
  <si>
    <t>Call volumn up - More shifts</t>
  </si>
  <si>
    <t>5003.1 · FD Burn Permits/Fire Letters</t>
  </si>
  <si>
    <t>Labor maint &amp; parts</t>
  </si>
  <si>
    <t xml:space="preserve">4005.2 FD-Equipment Maint/Repair </t>
  </si>
  <si>
    <t>Election this year for 3 directors</t>
  </si>
  <si>
    <t>1007.0 Election Expenses TXtal</t>
  </si>
  <si>
    <t>2002.1 CC-Consumable Supplies-Cleaning</t>
  </si>
  <si>
    <t>$500/mo</t>
  </si>
  <si>
    <t>$16.90/hr 12hrs/wk</t>
  </si>
  <si>
    <t>Includes 5 Special Mtgs</t>
  </si>
  <si>
    <t>1009.0 · Legal Expenses - General Counsel</t>
  </si>
  <si>
    <t>4002.1 ·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</si>
</sst>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trike/>
      <sz val="12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222222"/>
      <name val="Arial"/>
      <family val="2"/>
    </font>
    <font>
      <strike/>
      <sz val="11"/>
      <name val="Arial"/>
      <family val="2"/>
    </font>
    <font>
      <strike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9" fontId="9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164" fontId="9" fillId="0" borderId="0" xfId="0" applyNumberFormat="1" applyFont="1"/>
    <xf numFmtId="10" fontId="5" fillId="0" borderId="0" xfId="3" applyNumberFormat="1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44" fontId="5" fillId="0" borderId="0" xfId="1" applyFont="1" applyBorder="1"/>
    <xf numFmtId="0" fontId="6" fillId="0" borderId="0" xfId="0" applyFont="1"/>
    <xf numFmtId="9" fontId="5" fillId="0" borderId="0" xfId="3" applyFont="1"/>
    <xf numFmtId="8" fontId="5" fillId="0" borderId="0" xfId="1" applyNumberFormat="1" applyFont="1" applyBorder="1"/>
    <xf numFmtId="49" fontId="10" fillId="0" borderId="0" xfId="0" applyNumberFormat="1" applyFont="1"/>
    <xf numFmtId="9" fontId="5" fillId="0" borderId="0" xfId="3" applyFont="1" applyBorder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wrapText="1"/>
    </xf>
    <xf numFmtId="4" fontId="4" fillId="0" borderId="0" xfId="0" applyNumberFormat="1" applyFont="1"/>
    <xf numFmtId="49" fontId="9" fillId="0" borderId="3" xfId="0" applyNumberFormat="1" applyFont="1" applyBorder="1"/>
    <xf numFmtId="0" fontId="6" fillId="0" borderId="4" xfId="0" applyFont="1" applyBorder="1"/>
    <xf numFmtId="49" fontId="9" fillId="0" borderId="4" xfId="0" applyNumberFormat="1" applyFont="1" applyBorder="1"/>
    <xf numFmtId="49" fontId="5" fillId="0" borderId="4" xfId="0" applyNumberFormat="1" applyFont="1" applyBorder="1"/>
    <xf numFmtId="164" fontId="5" fillId="0" borderId="4" xfId="0" applyNumberFormat="1" applyFont="1" applyBorder="1"/>
    <xf numFmtId="10" fontId="5" fillId="0" borderId="4" xfId="3" applyNumberFormat="1" applyFont="1" applyBorder="1"/>
    <xf numFmtId="0" fontId="7" fillId="0" borderId="4" xfId="0" applyFont="1" applyBorder="1"/>
    <xf numFmtId="49" fontId="5" fillId="0" borderId="3" xfId="0" applyNumberFormat="1" applyFont="1" applyBorder="1"/>
    <xf numFmtId="0" fontId="12" fillId="0" borderId="0" xfId="0" applyFont="1"/>
    <xf numFmtId="49" fontId="13" fillId="0" borderId="0" xfId="0" applyNumberFormat="1" applyFont="1"/>
    <xf numFmtId="49" fontId="14" fillId="0" borderId="0" xfId="0" applyNumberFormat="1" applyFont="1"/>
    <xf numFmtId="0" fontId="4" fillId="0" borderId="6" xfId="0" applyFont="1" applyBorder="1"/>
    <xf numFmtId="164" fontId="4" fillId="0" borderId="7" xfId="0" applyNumberFormat="1" applyFont="1" applyBorder="1"/>
    <xf numFmtId="49" fontId="15" fillId="0" borderId="0" xfId="0" applyNumberFormat="1" applyFont="1" applyAlignment="1">
      <alignment horizontal="center"/>
    </xf>
    <xf numFmtId="164" fontId="9" fillId="0" borderId="4" xfId="0" applyNumberFormat="1" applyFont="1" applyBorder="1"/>
    <xf numFmtId="165" fontId="4" fillId="0" borderId="0" xfId="0" applyNumberFormat="1" applyFont="1"/>
    <xf numFmtId="0" fontId="6" fillId="3" borderId="4" xfId="0" applyFont="1" applyFill="1" applyBorder="1"/>
    <xf numFmtId="49" fontId="9" fillId="3" borderId="4" xfId="0" applyNumberFormat="1" applyFont="1" applyFill="1" applyBorder="1"/>
    <xf numFmtId="49" fontId="9" fillId="4" borderId="0" xfId="0" applyNumberFormat="1" applyFont="1" applyFill="1"/>
    <xf numFmtId="164" fontId="9" fillId="4" borderId="0" xfId="0" applyNumberFormat="1" applyFont="1" applyFill="1"/>
    <xf numFmtId="164" fontId="5" fillId="4" borderId="0" xfId="0" applyNumberFormat="1" applyFont="1" applyFill="1"/>
    <xf numFmtId="49" fontId="5" fillId="4" borderId="0" xfId="0" applyNumberFormat="1" applyFont="1" applyFill="1"/>
    <xf numFmtId="10" fontId="5" fillId="4" borderId="0" xfId="3" applyNumberFormat="1" applyFont="1" applyFill="1"/>
    <xf numFmtId="49" fontId="8" fillId="4" borderId="1" xfId="0" applyNumberFormat="1" applyFont="1" applyFill="1" applyBorder="1"/>
    <xf numFmtId="49" fontId="8" fillId="4" borderId="2" xfId="0" applyNumberFormat="1" applyFont="1" applyFill="1" applyBorder="1"/>
    <xf numFmtId="164" fontId="8" fillId="4" borderId="2" xfId="0" applyNumberFormat="1" applyFont="1" applyFill="1" applyBorder="1"/>
    <xf numFmtId="10" fontId="8" fillId="4" borderId="2" xfId="3" applyNumberFormat="1" applyFont="1" applyFill="1" applyBorder="1"/>
    <xf numFmtId="49" fontId="9" fillId="4" borderId="3" xfId="0" applyNumberFormat="1" applyFont="1" applyFill="1" applyBorder="1"/>
    <xf numFmtId="0" fontId="7" fillId="4" borderId="4" xfId="0" applyFont="1" applyFill="1" applyBorder="1"/>
    <xf numFmtId="49" fontId="5" fillId="4" borderId="4" xfId="0" applyNumberFormat="1" applyFont="1" applyFill="1" applyBorder="1"/>
    <xf numFmtId="164" fontId="5" fillId="4" borderId="4" xfId="0" applyNumberFormat="1" applyFont="1" applyFill="1" applyBorder="1"/>
    <xf numFmtId="10" fontId="5" fillId="4" borderId="4" xfId="3" applyNumberFormat="1" applyFont="1" applyFill="1" applyBorder="1"/>
    <xf numFmtId="164" fontId="9" fillId="4" borderId="4" xfId="0" applyNumberFormat="1" applyFont="1" applyFill="1" applyBorder="1"/>
    <xf numFmtId="49" fontId="9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right"/>
    </xf>
    <xf numFmtId="10" fontId="5" fillId="0" borderId="4" xfId="3" applyNumberFormat="1" applyFont="1" applyFill="1" applyBorder="1"/>
    <xf numFmtId="164" fontId="5" fillId="0" borderId="4" xfId="0" applyNumberFormat="1" applyFont="1" applyBorder="1" applyAlignment="1">
      <alignment horizontal="right"/>
    </xf>
    <xf numFmtId="10" fontId="5" fillId="0" borderId="0" xfId="3" applyNumberFormat="1" applyFont="1" applyFill="1" applyBorder="1"/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49" fontId="5" fillId="0" borderId="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49" fontId="9" fillId="3" borderId="3" xfId="0" applyNumberFormat="1" applyFont="1" applyFill="1" applyBorder="1" applyAlignment="1">
      <alignment horizontal="right" wrapText="1"/>
    </xf>
    <xf numFmtId="49" fontId="9" fillId="0" borderId="0" xfId="0" applyNumberFormat="1" applyFont="1" applyAlignment="1">
      <alignment horizontal="right" wrapText="1"/>
    </xf>
    <xf numFmtId="49" fontId="5" fillId="4" borderId="4" xfId="0" applyNumberFormat="1" applyFont="1" applyFill="1" applyBorder="1" applyAlignment="1">
      <alignment wrapText="1"/>
    </xf>
    <xf numFmtId="49" fontId="9" fillId="4" borderId="0" xfId="0" applyNumberFormat="1" applyFont="1" applyFill="1" applyAlignment="1">
      <alignment wrapText="1"/>
    </xf>
    <xf numFmtId="49" fontId="8" fillId="4" borderId="2" xfId="0" applyNumberFormat="1" applyFont="1" applyFill="1" applyBorder="1" applyAlignment="1">
      <alignment wrapText="1"/>
    </xf>
    <xf numFmtId="49" fontId="5" fillId="0" borderId="0" xfId="0" applyNumberFormat="1" applyFont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49" fontId="16" fillId="0" borderId="0" xfId="0" applyNumberFormat="1" applyFont="1" applyAlignment="1">
      <alignment horizontal="center"/>
    </xf>
    <xf numFmtId="164" fontId="10" fillId="0" borderId="0" xfId="0" applyNumberFormat="1" applyFont="1"/>
    <xf numFmtId="9" fontId="10" fillId="0" borderId="0" xfId="3" applyFont="1"/>
    <xf numFmtId="164" fontId="8" fillId="0" borderId="0" xfId="0" applyNumberFormat="1" applyFont="1"/>
    <xf numFmtId="49" fontId="8" fillId="0" borderId="0" xfId="0" applyNumberFormat="1" applyFont="1"/>
    <xf numFmtId="10" fontId="10" fillId="0" borderId="0" xfId="3" applyNumberFormat="1" applyFont="1" applyBorder="1"/>
    <xf numFmtId="164" fontId="8" fillId="0" borderId="4" xfId="0" applyNumberFormat="1" applyFont="1" applyBorder="1"/>
    <xf numFmtId="49" fontId="8" fillId="0" borderId="4" xfId="0" applyNumberFormat="1" applyFont="1" applyBorder="1"/>
    <xf numFmtId="10" fontId="10" fillId="0" borderId="4" xfId="3" applyNumberFormat="1" applyFont="1" applyBorder="1"/>
    <xf numFmtId="49" fontId="10" fillId="0" borderId="4" xfId="0" applyNumberFormat="1" applyFont="1" applyBorder="1"/>
    <xf numFmtId="164" fontId="10" fillId="0" borderId="4" xfId="0" applyNumberFormat="1" applyFont="1" applyBorder="1"/>
    <xf numFmtId="10" fontId="10" fillId="0" borderId="0" xfId="3" applyNumberFormat="1" applyFont="1"/>
    <xf numFmtId="10" fontId="10" fillId="0" borderId="8" xfId="3" applyNumberFormat="1" applyFont="1" applyBorder="1"/>
    <xf numFmtId="164" fontId="8" fillId="3" borderId="4" xfId="0" applyNumberFormat="1" applyFont="1" applyFill="1" applyBorder="1"/>
    <xf numFmtId="49" fontId="8" fillId="3" borderId="4" xfId="0" applyNumberFormat="1" applyFont="1" applyFill="1" applyBorder="1"/>
    <xf numFmtId="10" fontId="8" fillId="3" borderId="4" xfId="3" applyNumberFormat="1" applyFont="1" applyFill="1" applyBorder="1"/>
    <xf numFmtId="49" fontId="5" fillId="0" borderId="0" xfId="0" applyNumberFormat="1" applyFont="1" applyAlignment="1">
      <alignment horizontal="left" wrapText="1"/>
    </xf>
    <xf numFmtId="10" fontId="7" fillId="0" borderId="0" xfId="3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8" fontId="5" fillId="0" borderId="0" xfId="1" applyNumberFormat="1" applyFont="1" applyFill="1" applyBorder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10" fontId="8" fillId="4" borderId="0" xfId="3" applyNumberFormat="1" applyFont="1" applyFill="1"/>
    <xf numFmtId="164" fontId="5" fillId="7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10" fontId="10" fillId="0" borderId="0" xfId="3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44" fontId="7" fillId="0" borderId="0" xfId="1" applyFont="1" applyFill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1" xfId="0" applyNumberFormat="1" applyFont="1" applyBorder="1"/>
    <xf numFmtId="49" fontId="13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10" fontId="5" fillId="0" borderId="0" xfId="3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9" fontId="17" fillId="0" borderId="0" xfId="3" applyFont="1" applyAlignment="1">
      <alignment vertical="center"/>
    </xf>
    <xf numFmtId="49" fontId="5" fillId="7" borderId="0" xfId="0" applyNumberFormat="1" applyFont="1" applyFill="1" applyAlignment="1">
      <alignment vertical="center"/>
    </xf>
    <xf numFmtId="164" fontId="5" fillId="7" borderId="0" xfId="0" applyNumberFormat="1" applyFont="1" applyFill="1" applyAlignment="1">
      <alignment vertical="center"/>
    </xf>
    <xf numFmtId="164" fontId="9" fillId="7" borderId="0" xfId="0" applyNumberFormat="1" applyFont="1" applyFill="1" applyAlignment="1">
      <alignment vertical="center"/>
    </xf>
    <xf numFmtId="10" fontId="5" fillId="7" borderId="0" xfId="3" applyNumberFormat="1" applyFont="1" applyFill="1" applyAlignment="1">
      <alignment vertical="center"/>
    </xf>
    <xf numFmtId="0" fontId="8" fillId="0" borderId="0" xfId="0" applyFont="1"/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164" fontId="4" fillId="5" borderId="7" xfId="0" applyNumberFormat="1" applyFont="1" applyFill="1" applyBorder="1"/>
    <xf numFmtId="164" fontId="16" fillId="0" borderId="0" xfId="0" applyNumberFormat="1" applyFont="1"/>
    <xf numFmtId="164" fontId="19" fillId="0" borderId="0" xfId="0" applyNumberFormat="1" applyFont="1"/>
    <xf numFmtId="49" fontId="15" fillId="0" borderId="0" xfId="0" applyNumberFormat="1" applyFont="1"/>
    <xf numFmtId="9" fontId="5" fillId="0" borderId="0" xfId="3" applyFont="1" applyFill="1"/>
    <xf numFmtId="0" fontId="5" fillId="0" borderId="12" xfId="0" applyFont="1" applyBorder="1"/>
    <xf numFmtId="0" fontId="5" fillId="0" borderId="13" xfId="0" applyFont="1" applyBorder="1"/>
    <xf numFmtId="0" fontId="6" fillId="0" borderId="13" xfId="0" applyFont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 wrapText="1"/>
    </xf>
    <xf numFmtId="49" fontId="7" fillId="6" borderId="16" xfId="0" applyNumberFormat="1" applyFont="1" applyFill="1" applyBorder="1" applyAlignment="1">
      <alignment horizontal="center" wrapText="1"/>
    </xf>
    <xf numFmtId="49" fontId="7" fillId="2" borderId="16" xfId="0" applyNumberFormat="1" applyFont="1" applyFill="1" applyBorder="1" applyAlignment="1">
      <alignment horizontal="center" wrapText="1"/>
    </xf>
    <xf numFmtId="49" fontId="6" fillId="0" borderId="17" xfId="0" applyNumberFormat="1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left"/>
    </xf>
    <xf numFmtId="49" fontId="8" fillId="0" borderId="2" xfId="0" applyNumberFormat="1" applyFont="1" applyBorder="1"/>
    <xf numFmtId="44" fontId="17" fillId="0" borderId="0" xfId="1" applyFont="1" applyBorder="1" applyAlignment="1">
      <alignment vertical="center"/>
    </xf>
    <xf numFmtId="44" fontId="5" fillId="7" borderId="0" xfId="1" applyFont="1" applyFill="1" applyBorder="1" applyAlignment="1">
      <alignment vertical="center"/>
    </xf>
    <xf numFmtId="44" fontId="5" fillId="0" borderId="4" xfId="1" applyFont="1" applyBorder="1"/>
    <xf numFmtId="49" fontId="11" fillId="0" borderId="0" xfId="0" applyNumberFormat="1" applyFont="1"/>
    <xf numFmtId="164" fontId="9" fillId="7" borderId="4" xfId="0" applyNumberFormat="1" applyFont="1" applyFill="1" applyBorder="1"/>
    <xf numFmtId="164" fontId="5" fillId="0" borderId="0" xfId="0" applyNumberFormat="1" applyFont="1" applyAlignment="1">
      <alignment horizontal="right" wrapText="1"/>
    </xf>
    <xf numFmtId="49" fontId="20" fillId="0" borderId="0" xfId="0" applyNumberFormat="1" applyFont="1"/>
    <xf numFmtId="10" fontId="5" fillId="0" borderId="0" xfId="3" applyNumberFormat="1" applyFont="1" applyFill="1"/>
    <xf numFmtId="43" fontId="4" fillId="0" borderId="0" xfId="0" applyNumberFormat="1" applyFont="1"/>
    <xf numFmtId="0" fontId="4" fillId="0" borderId="0" xfId="0" applyFont="1" applyAlignment="1">
      <alignment horizontal="center"/>
    </xf>
    <xf numFmtId="4" fontId="21" fillId="0" borderId="0" xfId="0" applyNumberFormat="1" applyFont="1"/>
    <xf numFmtId="4" fontId="4" fillId="0" borderId="9" xfId="0" applyNumberFormat="1" applyFont="1" applyBorder="1"/>
    <xf numFmtId="0" fontId="4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8" borderId="13" xfId="0" applyFont="1" applyFill="1" applyBorder="1" applyAlignment="1">
      <alignment horizontal="center"/>
    </xf>
    <xf numFmtId="49" fontId="7" fillId="8" borderId="16" xfId="0" applyNumberFormat="1" applyFont="1" applyFill="1" applyBorder="1" applyAlignment="1">
      <alignment horizontal="center" wrapText="1"/>
    </xf>
    <xf numFmtId="164" fontId="10" fillId="8" borderId="0" xfId="0" applyNumberFormat="1" applyFont="1" applyFill="1"/>
    <xf numFmtId="164" fontId="8" fillId="8" borderId="0" xfId="0" applyNumberFormat="1" applyFont="1" applyFill="1"/>
    <xf numFmtId="164" fontId="8" fillId="8" borderId="4" xfId="0" applyNumberFormat="1" applyFont="1" applyFill="1" applyBorder="1"/>
    <xf numFmtId="164" fontId="8" fillId="8" borderId="0" xfId="0" applyNumberFormat="1" applyFont="1" applyFill="1" applyAlignment="1">
      <alignment vertical="center"/>
    </xf>
    <xf numFmtId="44" fontId="7" fillId="8" borderId="0" xfId="1" applyFont="1" applyFill="1" applyBorder="1" applyAlignment="1">
      <alignment horizontal="center"/>
    </xf>
    <xf numFmtId="49" fontId="7" fillId="8" borderId="0" xfId="0" applyNumberFormat="1" applyFont="1" applyFill="1" applyAlignment="1">
      <alignment horizontal="center"/>
    </xf>
    <xf numFmtId="164" fontId="5" fillId="8" borderId="0" xfId="0" applyNumberFormat="1" applyFont="1" applyFill="1"/>
    <xf numFmtId="164" fontId="9" fillId="8" borderId="0" xfId="0" applyNumberFormat="1" applyFont="1" applyFill="1"/>
    <xf numFmtId="164" fontId="9" fillId="8" borderId="4" xfId="0" applyNumberFormat="1" applyFont="1" applyFill="1" applyBorder="1"/>
    <xf numFmtId="164" fontId="9" fillId="8" borderId="0" xfId="0" applyNumberFormat="1" applyFont="1" applyFill="1" applyAlignment="1">
      <alignment vertical="center"/>
    </xf>
    <xf numFmtId="0" fontId="7" fillId="8" borderId="0" xfId="0" applyFont="1" applyFill="1"/>
    <xf numFmtId="164" fontId="16" fillId="8" borderId="0" xfId="0" applyNumberFormat="1" applyFont="1" applyFill="1"/>
    <xf numFmtId="0" fontId="5" fillId="8" borderId="0" xfId="0" applyFont="1" applyFill="1"/>
    <xf numFmtId="164" fontId="8" fillId="8" borderId="2" xfId="0" applyNumberFormat="1" applyFont="1" applyFill="1" applyBorder="1"/>
    <xf numFmtId="164" fontId="4" fillId="8" borderId="7" xfId="0" applyNumberFormat="1" applyFont="1" applyFill="1" applyBorder="1"/>
    <xf numFmtId="164" fontId="10" fillId="0" borderId="0" xfId="0" applyNumberFormat="1" applyFont="1" applyAlignment="1">
      <alignment horizontal="center"/>
    </xf>
    <xf numFmtId="0" fontId="22" fillId="0" borderId="0" xfId="0" applyFont="1"/>
    <xf numFmtId="164" fontId="7" fillId="8" borderId="0" xfId="0" applyNumberFormat="1" applyFont="1" applyFill="1"/>
    <xf numFmtId="164" fontId="7" fillId="0" borderId="0" xfId="0" applyNumberFormat="1" applyFont="1"/>
    <xf numFmtId="10" fontId="5" fillId="0" borderId="8" xfId="3" applyNumberFormat="1" applyFont="1" applyBorder="1"/>
    <xf numFmtId="10" fontId="5" fillId="0" borderId="0" xfId="3" applyNumberFormat="1" applyFont="1" applyBorder="1"/>
    <xf numFmtId="44" fontId="0" fillId="0" borderId="0" xfId="1" applyFont="1"/>
    <xf numFmtId="49" fontId="23" fillId="7" borderId="0" xfId="0" applyNumberFormat="1" applyFont="1" applyFill="1" applyAlignment="1">
      <alignment vertical="center"/>
    </xf>
    <xf numFmtId="49" fontId="11" fillId="7" borderId="0" xfId="0" applyNumberFormat="1" applyFont="1" applyFill="1" applyAlignment="1">
      <alignment vertical="center"/>
    </xf>
    <xf numFmtId="49" fontId="11" fillId="7" borderId="0" xfId="0" applyNumberFormat="1" applyFont="1" applyFill="1" applyAlignment="1">
      <alignment vertical="center" wrapText="1"/>
    </xf>
    <xf numFmtId="0" fontId="7" fillId="9" borderId="13" xfId="0" applyFont="1" applyFill="1" applyBorder="1" applyAlignment="1">
      <alignment horizontal="center"/>
    </xf>
    <xf numFmtId="49" fontId="6" fillId="9" borderId="16" xfId="0" applyNumberFormat="1" applyFont="1" applyFill="1" applyBorder="1" applyAlignment="1">
      <alignment horizontal="center" wrapText="1"/>
    </xf>
    <xf numFmtId="0" fontId="7" fillId="10" borderId="13" xfId="0" applyFont="1" applyFill="1" applyBorder="1" applyAlignment="1">
      <alignment horizontal="center"/>
    </xf>
    <xf numFmtId="49" fontId="7" fillId="10" borderId="16" xfId="0" applyNumberFormat="1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/>
    </xf>
    <xf numFmtId="49" fontId="6" fillId="8" borderId="16" xfId="0" applyNumberFormat="1" applyFont="1" applyFill="1" applyBorder="1" applyAlignment="1">
      <alignment horizontal="center" wrapText="1"/>
    </xf>
    <xf numFmtId="164" fontId="19" fillId="3" borderId="4" xfId="0" applyNumberFormat="1" applyFont="1" applyFill="1" applyBorder="1"/>
    <xf numFmtId="0" fontId="0" fillId="0" borderId="9" xfId="0" applyBorder="1"/>
    <xf numFmtId="10" fontId="0" fillId="0" borderId="9" xfId="0" applyNumberFormat="1" applyBorder="1"/>
    <xf numFmtId="0" fontId="24" fillId="0" borderId="9" xfId="0" applyFont="1" applyBorder="1" applyAlignment="1">
      <alignment horizontal="center"/>
    </xf>
    <xf numFmtId="44" fontId="15" fillId="0" borderId="0" xfId="1" applyFont="1" applyAlignment="1">
      <alignment wrapText="1"/>
    </xf>
    <xf numFmtId="43" fontId="0" fillId="0" borderId="0" xfId="4" applyFont="1"/>
    <xf numFmtId="0" fontId="0" fillId="0" borderId="0" xfId="0" quotePrefix="1"/>
    <xf numFmtId="10" fontId="24" fillId="0" borderId="9" xfId="0" applyNumberFormat="1" applyFont="1" applyBorder="1"/>
    <xf numFmtId="10" fontId="24" fillId="0" borderId="9" xfId="0" applyNumberFormat="1" applyFont="1" applyBorder="1" applyAlignment="1">
      <alignment horizontal="center"/>
    </xf>
    <xf numFmtId="44" fontId="0" fillId="0" borderId="0" xfId="0" applyNumberFormat="1"/>
    <xf numFmtId="0" fontId="24" fillId="0" borderId="3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44" fontId="25" fillId="0" borderId="9" xfId="1" quotePrefix="1" applyFont="1" applyBorder="1" applyAlignment="1">
      <alignment horizontal="center" wrapText="1"/>
    </xf>
    <xf numFmtId="44" fontId="0" fillId="0" borderId="9" xfId="1" applyFont="1" applyBorder="1" applyAlignment="1">
      <alignment horizontal="center"/>
    </xf>
    <xf numFmtId="44" fontId="0" fillId="0" borderId="9" xfId="1" quotePrefix="1" applyFont="1" applyBorder="1" applyAlignment="1">
      <alignment horizontal="center"/>
    </xf>
    <xf numFmtId="44" fontId="26" fillId="0" borderId="9" xfId="1" quotePrefix="1" applyFont="1" applyBorder="1" applyAlignment="1">
      <alignment horizontal="center" wrapText="1"/>
    </xf>
    <xf numFmtId="44" fontId="0" fillId="0" borderId="9" xfId="1" quotePrefix="1" applyFont="1" applyBorder="1" applyAlignment="1">
      <alignment horizontal="center" wrapText="1"/>
    </xf>
    <xf numFmtId="0" fontId="25" fillId="0" borderId="9" xfId="0" quotePrefix="1" applyFont="1" applyBorder="1" applyAlignment="1">
      <alignment horizontal="center" wrapText="1"/>
    </xf>
    <xf numFmtId="10" fontId="24" fillId="0" borderId="3" xfId="0" applyNumberFormat="1" applyFont="1" applyBorder="1" applyAlignment="1">
      <alignment horizontal="center"/>
    </xf>
    <xf numFmtId="43" fontId="0" fillId="0" borderId="9" xfId="4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11" borderId="0" xfId="0" applyFill="1" applyAlignment="1">
      <alignment horizontal="right"/>
    </xf>
    <xf numFmtId="0" fontId="0" fillId="11" borderId="0" xfId="0" quotePrefix="1" applyFill="1"/>
    <xf numFmtId="44" fontId="0" fillId="11" borderId="0" xfId="1" applyFont="1" applyFill="1"/>
    <xf numFmtId="43" fontId="0" fillId="11" borderId="0" xfId="4" applyFont="1" applyFill="1"/>
    <xf numFmtId="44" fontId="0" fillId="11" borderId="0" xfId="0" applyNumberFormat="1" applyFill="1"/>
    <xf numFmtId="0" fontId="0" fillId="11" borderId="0" xfId="0" applyFill="1"/>
    <xf numFmtId="49" fontId="9" fillId="0" borderId="0" xfId="0" applyNumberFormat="1" applyFont="1" applyAlignment="1">
      <alignment horizontal="center" vertical="center"/>
    </xf>
    <xf numFmtId="164" fontId="5" fillId="0" borderId="0" xfId="0" quotePrefix="1" applyNumberFormat="1" applyFont="1"/>
    <xf numFmtId="164" fontId="5" fillId="0" borderId="0" xfId="0" quotePrefix="1" applyNumberFormat="1" applyFont="1" applyAlignment="1">
      <alignment horizontal="center"/>
    </xf>
    <xf numFmtId="164" fontId="5" fillId="0" borderId="0" xfId="0" quotePrefix="1" applyNumberFormat="1" applyFont="1" applyAlignment="1">
      <alignment horizontal="right"/>
    </xf>
    <xf numFmtId="164" fontId="5" fillId="0" borderId="0" xfId="0" quotePrefix="1" applyNumberFormat="1" applyFont="1" applyAlignment="1">
      <alignment horizontal="left"/>
    </xf>
    <xf numFmtId="44" fontId="7" fillId="0" borderId="0" xfId="1" applyFont="1"/>
    <xf numFmtId="44" fontId="7" fillId="0" borderId="0" xfId="1" applyFont="1" applyAlignment="1">
      <alignment horizontal="center"/>
    </xf>
    <xf numFmtId="44" fontId="8" fillId="0" borderId="0" xfId="1" applyFont="1"/>
    <xf numFmtId="44" fontId="2" fillId="0" borderId="0" xfId="1" applyFont="1"/>
    <xf numFmtId="44" fontId="7" fillId="0" borderId="19" xfId="1" applyFont="1" applyBorder="1"/>
    <xf numFmtId="0" fontId="7" fillId="0" borderId="19" xfId="0" applyFont="1" applyBorder="1"/>
    <xf numFmtId="44" fontId="7" fillId="0" borderId="20" xfId="1" applyFont="1" applyBorder="1"/>
    <xf numFmtId="0" fontId="7" fillId="0" borderId="0" xfId="0" quotePrefix="1" applyFont="1"/>
    <xf numFmtId="0" fontId="2" fillId="0" borderId="0" xfId="0" quotePrefix="1" applyFont="1"/>
    <xf numFmtId="44" fontId="2" fillId="0" borderId="19" xfId="1" applyFont="1" applyBorder="1"/>
    <xf numFmtId="49" fontId="5" fillId="0" borderId="0" xfId="0" applyNumberFormat="1" applyFont="1" applyAlignment="1">
      <alignment vertical="center" wrapText="1"/>
    </xf>
    <xf numFmtId="43" fontId="9" fillId="0" borderId="0" xfId="4" applyFont="1"/>
    <xf numFmtId="164" fontId="27" fillId="0" borderId="0" xfId="0" applyNumberFormat="1" applyFont="1" applyFill="1" applyAlignment="1">
      <alignment horizontal="center"/>
    </xf>
    <xf numFmtId="0" fontId="7" fillId="0" borderId="0" xfId="0" applyFont="1" applyBorder="1"/>
    <xf numFmtId="44" fontId="7" fillId="0" borderId="0" xfId="1" applyFont="1" applyBorder="1"/>
  </cellXfs>
  <cellStyles count="5">
    <cellStyle name="Comma" xfId="4" builtinId="3"/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390525</xdr:colOff>
          <xdr:row>1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390525</xdr:colOff>
          <xdr:row>1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390525</xdr:colOff>
          <xdr:row>1</xdr:row>
          <xdr:rowOff>228600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390525</xdr:colOff>
          <xdr:row>1</xdr:row>
          <xdr:rowOff>228600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3</xdr:col>
          <xdr:colOff>85725</xdr:colOff>
          <xdr:row>1</xdr:row>
          <xdr:rowOff>228600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3</xdr:col>
          <xdr:colOff>85725</xdr:colOff>
          <xdr:row>1</xdr:row>
          <xdr:rowOff>228600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210"/>
  <sheetViews>
    <sheetView tabSelected="1" topLeftCell="A199" zoomScaleNormal="100" workbookViewId="0">
      <pane ySplit="1560" activePane="bottomLeft"/>
      <selection activeCell="X199" sqref="X199"/>
      <selection pane="bottomLeft" activeCell="X169" sqref="X169"/>
    </sheetView>
  </sheetViews>
  <sheetFormatPr defaultColWidth="9.140625" defaultRowHeight="15" outlineLevelRow="2" x14ac:dyDescent="0.2"/>
  <cols>
    <col min="1" max="1" width="4.5703125" style="2" customWidth="1"/>
    <col min="2" max="2" width="3.28515625" style="2" customWidth="1"/>
    <col min="3" max="3" width="59.7109375" style="71" bestFit="1" customWidth="1"/>
    <col min="4" max="4" width="2.28515625" style="2" customWidth="1"/>
    <col min="5" max="6" width="14.28515625" style="2" hidden="1" customWidth="1"/>
    <col min="7" max="7" width="2.28515625" style="2" hidden="1" customWidth="1"/>
    <col min="8" max="8" width="14.28515625" style="2" hidden="1" customWidth="1"/>
    <col min="9" max="9" width="2.28515625" style="2" hidden="1" customWidth="1"/>
    <col min="10" max="10" width="11.140625" style="2" hidden="1" customWidth="1"/>
    <col min="11" max="12" width="2.28515625" style="2" hidden="1" customWidth="1"/>
    <col min="13" max="13" width="19.85546875" style="2" hidden="1" customWidth="1"/>
    <col min="14" max="14" width="2.7109375" style="2" hidden="1" customWidth="1"/>
    <col min="15" max="15" width="16.5703125" style="2" hidden="1" customWidth="1"/>
    <col min="16" max="16" width="2.7109375" style="2" hidden="1" customWidth="1"/>
    <col min="17" max="17" width="14.28515625" style="2" hidden="1" customWidth="1"/>
    <col min="18" max="18" width="2.28515625" style="2" hidden="1" customWidth="1"/>
    <col min="19" max="19" width="13.7109375" style="2" hidden="1" customWidth="1"/>
    <col min="20" max="20" width="16.5703125" style="2" bestFit="1" customWidth="1"/>
    <col min="21" max="21" width="16.5703125" style="2" customWidth="1"/>
    <col min="22" max="22" width="19.85546875" style="2" customWidth="1"/>
    <col min="23" max="23" width="2.7109375" style="2" bestFit="1" customWidth="1"/>
    <col min="24" max="24" width="16.5703125" style="2" bestFit="1" customWidth="1"/>
    <col min="25" max="25" width="2.7109375" style="2" bestFit="1" customWidth="1"/>
    <col min="26" max="26" width="14.28515625" style="2" customWidth="1"/>
    <col min="27" max="27" width="2.28515625" style="2" hidden="1" customWidth="1"/>
    <col min="28" max="28" width="13.7109375" style="2" hidden="1" customWidth="1"/>
    <col min="29" max="16384" width="9.140625" style="1"/>
  </cols>
  <sheetData>
    <row r="1" spans="1:28" s="4" customFormat="1" ht="16.5" thickTop="1" x14ac:dyDescent="0.25">
      <c r="A1" s="130"/>
      <c r="B1" s="131"/>
      <c r="C1" s="131"/>
      <c r="D1" s="132"/>
      <c r="E1" s="132"/>
      <c r="F1" s="132" t="s">
        <v>170</v>
      </c>
      <c r="G1" s="132"/>
      <c r="H1" s="133"/>
      <c r="I1" s="132"/>
      <c r="J1" s="132" t="s">
        <v>91</v>
      </c>
      <c r="K1" s="132"/>
      <c r="L1" s="132"/>
      <c r="M1" s="132"/>
      <c r="N1" s="132"/>
      <c r="O1" s="134"/>
      <c r="P1" s="132"/>
      <c r="Q1" s="132" t="s">
        <v>91</v>
      </c>
      <c r="R1" s="132"/>
      <c r="S1" s="135" t="s">
        <v>58</v>
      </c>
      <c r="T1" s="160"/>
      <c r="U1" s="187"/>
      <c r="V1" s="132"/>
      <c r="W1" s="132"/>
      <c r="X1" s="189"/>
      <c r="Y1" s="132"/>
      <c r="Z1" s="191" t="s">
        <v>91</v>
      </c>
      <c r="AA1" s="132"/>
      <c r="AB1" s="135" t="s">
        <v>58</v>
      </c>
    </row>
    <row r="2" spans="1:28" s="90" customFormat="1" ht="45.75" thickBot="1" x14ac:dyDescent="0.3">
      <c r="A2" s="136"/>
      <c r="B2" s="137"/>
      <c r="C2" s="143"/>
      <c r="D2" s="138"/>
      <c r="E2" s="139" t="s">
        <v>169</v>
      </c>
      <c r="F2" s="139" t="s">
        <v>149</v>
      </c>
      <c r="G2" s="138"/>
      <c r="H2" s="140" t="s">
        <v>171</v>
      </c>
      <c r="I2" s="138"/>
      <c r="J2" s="139" t="s">
        <v>191</v>
      </c>
      <c r="K2" s="138"/>
      <c r="L2" s="138"/>
      <c r="M2" s="139" t="s">
        <v>177</v>
      </c>
      <c r="N2" s="138"/>
      <c r="O2" s="141" t="s">
        <v>178</v>
      </c>
      <c r="P2" s="138"/>
      <c r="Q2" s="139" t="s">
        <v>179</v>
      </c>
      <c r="R2" s="138"/>
      <c r="S2" s="142" t="s">
        <v>180</v>
      </c>
      <c r="T2" s="161" t="s">
        <v>196</v>
      </c>
      <c r="U2" s="188" t="s">
        <v>215</v>
      </c>
      <c r="V2" s="139" t="s">
        <v>192</v>
      </c>
      <c r="W2" s="138"/>
      <c r="X2" s="190" t="s">
        <v>193</v>
      </c>
      <c r="Y2" s="138"/>
      <c r="Z2" s="192" t="s">
        <v>194</v>
      </c>
      <c r="AA2" s="138"/>
      <c r="AB2" s="142" t="s">
        <v>195</v>
      </c>
    </row>
    <row r="3" spans="1:28" s="4" customFormat="1" ht="18.75" outlineLevel="1" thickTop="1" x14ac:dyDescent="0.25">
      <c r="A3" s="29"/>
      <c r="B3" s="5"/>
      <c r="C3" s="60" t="s">
        <v>0</v>
      </c>
      <c r="D3" s="6"/>
      <c r="E3" s="7"/>
      <c r="F3" s="7"/>
      <c r="G3" s="6"/>
      <c r="H3" s="73"/>
      <c r="I3" s="16"/>
      <c r="J3" s="74"/>
      <c r="K3" s="16"/>
      <c r="L3" s="16"/>
      <c r="M3" s="73"/>
      <c r="N3" s="16"/>
      <c r="O3" s="73"/>
      <c r="P3" s="16"/>
      <c r="Q3" s="74"/>
      <c r="R3" s="16"/>
      <c r="S3" s="73"/>
      <c r="T3" s="162"/>
      <c r="U3" s="73"/>
      <c r="V3" s="73"/>
      <c r="W3" s="16"/>
      <c r="X3" s="73"/>
      <c r="Y3" s="16"/>
      <c r="Z3" s="74"/>
      <c r="AA3" s="16"/>
      <c r="AB3" s="73"/>
    </row>
    <row r="4" spans="1:28" s="4" customFormat="1" ht="18" outlineLevel="2" x14ac:dyDescent="0.25">
      <c r="A4" s="30" t="s">
        <v>38</v>
      </c>
      <c r="C4" s="60" t="s">
        <v>38</v>
      </c>
      <c r="D4" s="6"/>
      <c r="E4" s="7"/>
      <c r="F4" s="7"/>
      <c r="G4" s="6"/>
      <c r="H4" s="73"/>
      <c r="I4" s="16"/>
      <c r="J4" s="74"/>
      <c r="K4" s="16"/>
      <c r="L4" s="16"/>
      <c r="M4" s="73"/>
      <c r="N4" s="16"/>
      <c r="O4" s="73"/>
      <c r="P4" s="16"/>
      <c r="Q4" s="74"/>
      <c r="R4" s="16"/>
      <c r="S4" s="73"/>
      <c r="T4" s="162"/>
      <c r="U4" s="73"/>
      <c r="V4" s="73"/>
      <c r="W4" s="16"/>
      <c r="X4" s="73"/>
      <c r="Y4" s="16"/>
      <c r="Z4" s="74"/>
      <c r="AA4" s="16"/>
      <c r="AB4" s="73"/>
    </row>
    <row r="5" spans="1:28" s="4" customFormat="1" ht="18" outlineLevel="2" x14ac:dyDescent="0.25">
      <c r="A5" s="30" t="s">
        <v>38</v>
      </c>
      <c r="C5" s="148" t="s">
        <v>39</v>
      </c>
      <c r="D5" s="6"/>
      <c r="E5" s="7">
        <v>679.15</v>
      </c>
      <c r="F5" s="7">
        <f>(E5/10)*12</f>
        <v>814.9799999999999</v>
      </c>
      <c r="G5" s="6"/>
      <c r="H5" s="75">
        <v>0</v>
      </c>
      <c r="I5" s="76"/>
      <c r="J5" s="77">
        <f>H5/$H$36</f>
        <v>0</v>
      </c>
      <c r="K5" s="16"/>
      <c r="L5" s="16"/>
      <c r="M5" s="73"/>
      <c r="N5" s="76"/>
      <c r="O5" s="75">
        <v>0</v>
      </c>
      <c r="P5" s="76"/>
      <c r="Q5" s="77">
        <f>O5/$O$36</f>
        <v>0</v>
      </c>
      <c r="R5" s="16"/>
      <c r="S5" s="73">
        <f>O5/12</f>
        <v>0</v>
      </c>
      <c r="T5" s="163">
        <v>0</v>
      </c>
      <c r="U5" s="75"/>
      <c r="V5" s="73"/>
      <c r="W5" s="76"/>
      <c r="X5" s="75">
        <v>0</v>
      </c>
      <c r="Y5" s="76"/>
      <c r="Z5" s="77">
        <f>X5/$X$36</f>
        <v>0</v>
      </c>
      <c r="AA5" s="16"/>
      <c r="AB5" s="73">
        <f>X5/12</f>
        <v>0</v>
      </c>
    </row>
    <row r="6" spans="1:28" s="4" customFormat="1" ht="18" outlineLevel="2" x14ac:dyDescent="0.25">
      <c r="A6" s="30" t="s">
        <v>38</v>
      </c>
      <c r="C6" s="6" t="s">
        <v>40</v>
      </c>
      <c r="D6" s="6"/>
      <c r="E6" s="7">
        <v>6100</v>
      </c>
      <c r="F6" s="7">
        <f>(E6/10)*12</f>
        <v>7320</v>
      </c>
      <c r="G6" s="6"/>
      <c r="H6" s="75">
        <v>2500</v>
      </c>
      <c r="I6" s="76"/>
      <c r="J6" s="77">
        <f>H6/$H$36</f>
        <v>8.6981109407866363E-3</v>
      </c>
      <c r="K6" s="16"/>
      <c r="L6" s="16"/>
      <c r="M6" s="73"/>
      <c r="N6" s="76"/>
      <c r="O6" s="75">
        <v>2500</v>
      </c>
      <c r="P6" s="76"/>
      <c r="Q6" s="77">
        <f>O6/$O$36</f>
        <v>7.8553803117963825E-3</v>
      </c>
      <c r="R6" s="16"/>
      <c r="S6" s="73">
        <f>O6/12</f>
        <v>208.33333333333334</v>
      </c>
      <c r="T6" s="163">
        <v>2500</v>
      </c>
      <c r="U6" s="75">
        <f>(1823.31/10)*12</f>
        <v>2187.9719999999998</v>
      </c>
      <c r="V6" s="73"/>
      <c r="W6" s="76"/>
      <c r="X6" s="75">
        <v>2500</v>
      </c>
      <c r="Y6" s="76"/>
      <c r="Z6" s="77">
        <f>X6/$X$36</f>
        <v>7.7485262303109946E-3</v>
      </c>
      <c r="AA6" s="16"/>
      <c r="AB6" s="73">
        <f>X6/12</f>
        <v>208.33333333333334</v>
      </c>
    </row>
    <row r="7" spans="1:28" s="4" customFormat="1" ht="18" outlineLevel="1" x14ac:dyDescent="0.25">
      <c r="A7" s="28" t="s">
        <v>99</v>
      </c>
      <c r="B7" s="27"/>
      <c r="C7" s="62"/>
      <c r="D7" s="24"/>
      <c r="E7" s="78">
        <f>SUBTOTAL(9,E4:E6)</f>
        <v>6779.15</v>
      </c>
      <c r="F7" s="78">
        <f>SUBTOTAL(9,F4:F6)</f>
        <v>8134.98</v>
      </c>
      <c r="G7" s="24"/>
      <c r="H7" s="78">
        <f>SUBTOTAL(9,H4:H6)</f>
        <v>2500</v>
      </c>
      <c r="I7" s="79"/>
      <c r="J7" s="80">
        <f>SUBTOTAL(9,J4:J6)</f>
        <v>8.6981109407866363E-3</v>
      </c>
      <c r="K7" s="81"/>
      <c r="L7" s="81"/>
      <c r="M7" s="82"/>
      <c r="N7" s="79"/>
      <c r="O7" s="78">
        <f>SUBTOTAL(9,O4:O6)</f>
        <v>2500</v>
      </c>
      <c r="P7" s="79"/>
      <c r="Q7" s="80">
        <f>SUBTOTAL(9,Q4:Q6)</f>
        <v>7.8553803117963825E-3</v>
      </c>
      <c r="R7" s="81"/>
      <c r="S7" s="82">
        <f>SUBTOTAL(9,S4:S6)</f>
        <v>208.33333333333334</v>
      </c>
      <c r="T7" s="164">
        <f>SUBTOTAL(9,T4:T6)</f>
        <v>2500</v>
      </c>
      <c r="U7" s="78">
        <f>SUM(U5:U6)</f>
        <v>2187.9719999999998</v>
      </c>
      <c r="V7" s="82"/>
      <c r="W7" s="79"/>
      <c r="X7" s="78">
        <f>SUBTOTAL(9,X4:X6)</f>
        <v>2500</v>
      </c>
      <c r="Y7" s="79"/>
      <c r="Z7" s="80">
        <f>SUBTOTAL(9,Z4:Z6)</f>
        <v>7.7485262303109946E-3</v>
      </c>
      <c r="AA7" s="81"/>
      <c r="AB7" s="82">
        <f>SUBTOTAL(9,AB4:AB6)</f>
        <v>208.33333333333334</v>
      </c>
    </row>
    <row r="8" spans="1:28" s="4" customFormat="1" ht="18" outlineLevel="1" x14ac:dyDescent="0.25">
      <c r="A8" s="29"/>
      <c r="C8" s="61"/>
      <c r="D8" s="6"/>
      <c r="E8" s="7"/>
      <c r="F8" s="7"/>
      <c r="G8" s="6"/>
      <c r="H8" s="73"/>
      <c r="I8" s="16"/>
      <c r="J8" s="83"/>
      <c r="K8" s="16"/>
      <c r="L8" s="16"/>
      <c r="M8" s="73"/>
      <c r="N8" s="16"/>
      <c r="O8" s="73"/>
      <c r="P8" s="16"/>
      <c r="Q8" s="83"/>
      <c r="R8" s="16"/>
      <c r="S8" s="73"/>
      <c r="T8" s="162"/>
      <c r="U8" s="73"/>
      <c r="V8" s="73"/>
      <c r="W8" s="16"/>
      <c r="X8" s="73"/>
      <c r="Y8" s="16"/>
      <c r="Z8" s="83"/>
      <c r="AA8" s="16"/>
      <c r="AB8" s="73"/>
    </row>
    <row r="9" spans="1:28" s="4" customFormat="1" ht="18" outlineLevel="2" x14ac:dyDescent="0.25">
      <c r="A9" s="30" t="s">
        <v>41</v>
      </c>
      <c r="C9" s="60" t="s">
        <v>41</v>
      </c>
      <c r="D9" s="6"/>
      <c r="E9" s="7">
        <v>500</v>
      </c>
      <c r="F9" s="7"/>
      <c r="G9" s="6"/>
      <c r="H9" s="73"/>
      <c r="I9" s="16"/>
      <c r="J9" s="74"/>
      <c r="K9" s="16"/>
      <c r="L9" s="16"/>
      <c r="M9" s="73"/>
      <c r="N9" s="16"/>
      <c r="O9" s="73"/>
      <c r="P9" s="16"/>
      <c r="Q9" s="74"/>
      <c r="R9" s="16"/>
      <c r="S9" s="73">
        <f>O9/12</f>
        <v>0</v>
      </c>
      <c r="T9" s="162"/>
      <c r="U9" s="73"/>
      <c r="V9" s="73"/>
      <c r="W9" s="16"/>
      <c r="X9" s="73"/>
      <c r="Y9" s="16"/>
      <c r="Z9" s="74"/>
      <c r="AA9" s="16"/>
      <c r="AB9" s="73">
        <f>X9/12</f>
        <v>0</v>
      </c>
    </row>
    <row r="10" spans="1:28" s="4" customFormat="1" ht="18" outlineLevel="2" x14ac:dyDescent="0.25">
      <c r="A10" s="30" t="s">
        <v>41</v>
      </c>
      <c r="C10" s="6" t="s">
        <v>42</v>
      </c>
      <c r="D10" s="6"/>
      <c r="E10" s="7">
        <v>80</v>
      </c>
      <c r="F10" s="7">
        <f>(E10/10)*12</f>
        <v>96</v>
      </c>
      <c r="G10" s="6"/>
      <c r="H10" s="75">
        <v>1000</v>
      </c>
      <c r="I10" s="16"/>
      <c r="J10" s="77">
        <f>H10/$H$36</f>
        <v>3.4792443763146546E-3</v>
      </c>
      <c r="K10" s="16"/>
      <c r="L10" s="16"/>
      <c r="M10" s="73"/>
      <c r="N10" s="16"/>
      <c r="O10" s="75">
        <v>1000</v>
      </c>
      <c r="P10" s="16"/>
      <c r="Q10" s="77">
        <f>O10/$O$36</f>
        <v>3.1421521247185532E-3</v>
      </c>
      <c r="R10" s="16"/>
      <c r="S10" s="73">
        <f>O10/12</f>
        <v>83.333333333333329</v>
      </c>
      <c r="T10" s="163">
        <v>1000</v>
      </c>
      <c r="U10" s="75">
        <f>(1396.5/10)*12</f>
        <v>1675.8000000000002</v>
      </c>
      <c r="V10" s="73"/>
      <c r="W10" s="16"/>
      <c r="X10" s="75">
        <v>1000</v>
      </c>
      <c r="Y10" s="16"/>
      <c r="Z10" s="77">
        <f>X10/$X$36</f>
        <v>3.099410492124398E-3</v>
      </c>
      <c r="AA10" s="16"/>
      <c r="AB10" s="73">
        <f>X10/12</f>
        <v>83.333333333333329</v>
      </c>
    </row>
    <row r="11" spans="1:28" s="4" customFormat="1" ht="18" outlineLevel="2" x14ac:dyDescent="0.25">
      <c r="A11" s="30" t="s">
        <v>41</v>
      </c>
      <c r="C11" s="148" t="s">
        <v>43</v>
      </c>
      <c r="D11" s="6"/>
      <c r="E11" s="7"/>
      <c r="F11" s="7">
        <f>(E11/10)*12</f>
        <v>0</v>
      </c>
      <c r="G11" s="6"/>
      <c r="H11" s="75">
        <v>100</v>
      </c>
      <c r="I11" s="16"/>
      <c r="J11" s="77">
        <f>H11/$H$36</f>
        <v>3.4792443763146546E-4</v>
      </c>
      <c r="K11" s="16"/>
      <c r="L11" s="16"/>
      <c r="M11" s="73"/>
      <c r="N11" s="16"/>
      <c r="O11" s="75">
        <v>0</v>
      </c>
      <c r="P11" s="16"/>
      <c r="Q11" s="77">
        <f>O11/$O$36</f>
        <v>0</v>
      </c>
      <c r="R11" s="16"/>
      <c r="S11" s="73">
        <f>O11/12</f>
        <v>0</v>
      </c>
      <c r="T11" s="163">
        <v>0</v>
      </c>
      <c r="U11" s="75"/>
      <c r="V11" s="73"/>
      <c r="W11" s="16"/>
      <c r="X11" s="75">
        <v>0</v>
      </c>
      <c r="Y11" s="16"/>
      <c r="Z11" s="77">
        <f>X11/$X$36</f>
        <v>0</v>
      </c>
      <c r="AA11" s="16"/>
      <c r="AB11" s="73">
        <f>X11/12</f>
        <v>0</v>
      </c>
    </row>
    <row r="12" spans="1:28" s="4" customFormat="1" ht="18" outlineLevel="1" x14ac:dyDescent="0.25">
      <c r="A12" s="28" t="s">
        <v>100</v>
      </c>
      <c r="B12" s="27"/>
      <c r="C12" s="62"/>
      <c r="D12" s="24"/>
      <c r="E12" s="78">
        <f>SUBTOTAL(9,E9:E11)</f>
        <v>580</v>
      </c>
      <c r="F12" s="78">
        <f>SUBTOTAL(9,F9:F11)</f>
        <v>96</v>
      </c>
      <c r="G12" s="24"/>
      <c r="H12" s="78">
        <f>SUBTOTAL(9,H9:H11)</f>
        <v>1100</v>
      </c>
      <c r="I12" s="81"/>
      <c r="J12" s="80">
        <f>SUBTOTAL(9,J9:J11)</f>
        <v>3.8271688139461203E-3</v>
      </c>
      <c r="K12" s="81"/>
      <c r="L12" s="81"/>
      <c r="M12" s="82"/>
      <c r="N12" s="81"/>
      <c r="O12" s="78">
        <f>SUBTOTAL(9,O9:O11)</f>
        <v>1000</v>
      </c>
      <c r="P12" s="81"/>
      <c r="Q12" s="80">
        <f>SUBTOTAL(9,Q9:Q11)</f>
        <v>3.1421521247185532E-3</v>
      </c>
      <c r="R12" s="81"/>
      <c r="S12" s="82">
        <f>SUBTOTAL(9,S9:S11)</f>
        <v>83.333333333333329</v>
      </c>
      <c r="T12" s="164">
        <f>SUBTOTAL(9,T9:T11)</f>
        <v>1000</v>
      </c>
      <c r="U12" s="78">
        <f>SUM(U10:U11)</f>
        <v>1675.8000000000002</v>
      </c>
      <c r="V12" s="82"/>
      <c r="W12" s="81"/>
      <c r="X12" s="78">
        <f>SUBTOTAL(9,X9:X11)</f>
        <v>1000</v>
      </c>
      <c r="Y12" s="81"/>
      <c r="Z12" s="80">
        <f>SUBTOTAL(9,Z9:Z11)</f>
        <v>3.099410492124398E-3</v>
      </c>
      <c r="AA12" s="81"/>
      <c r="AB12" s="82">
        <f>SUBTOTAL(9,AB9:AB11)</f>
        <v>83.333333333333329</v>
      </c>
    </row>
    <row r="13" spans="1:28" s="4" customFormat="1" ht="18" outlineLevel="1" x14ac:dyDescent="0.25">
      <c r="A13" s="6"/>
      <c r="C13" s="61"/>
      <c r="D13" s="6"/>
      <c r="E13" s="7"/>
      <c r="F13" s="7"/>
      <c r="G13" s="6"/>
      <c r="H13" s="75"/>
      <c r="I13" s="16"/>
      <c r="J13" s="83"/>
      <c r="K13" s="16"/>
      <c r="L13" s="16"/>
      <c r="M13" s="73"/>
      <c r="N13" s="16"/>
      <c r="O13" s="75"/>
      <c r="P13" s="16"/>
      <c r="Q13" s="83"/>
      <c r="R13" s="16"/>
      <c r="S13" s="73"/>
      <c r="T13" s="163"/>
      <c r="U13" s="75"/>
      <c r="V13" s="73"/>
      <c r="W13" s="16"/>
      <c r="X13" s="75"/>
      <c r="Y13" s="16"/>
      <c r="Z13" s="83"/>
      <c r="AA13" s="16"/>
      <c r="AB13" s="73"/>
    </row>
    <row r="14" spans="1:28" s="4" customFormat="1" ht="18" outlineLevel="2" x14ac:dyDescent="0.25">
      <c r="A14" s="29" t="s">
        <v>1</v>
      </c>
      <c r="C14" s="5" t="s">
        <v>1</v>
      </c>
      <c r="D14" s="6"/>
      <c r="E14" s="7"/>
      <c r="F14" s="7"/>
      <c r="G14" s="6"/>
      <c r="H14" s="75"/>
      <c r="I14" s="16"/>
      <c r="J14" s="74"/>
      <c r="K14" s="16"/>
      <c r="L14" s="16"/>
      <c r="M14" s="73"/>
      <c r="N14" s="16"/>
      <c r="O14" s="75"/>
      <c r="P14" s="16"/>
      <c r="Q14" s="74"/>
      <c r="R14" s="16"/>
      <c r="S14" s="73"/>
      <c r="T14" s="163"/>
      <c r="U14" s="75"/>
      <c r="V14" s="73"/>
      <c r="W14" s="16"/>
      <c r="X14" s="75"/>
      <c r="Y14" s="16"/>
      <c r="Z14" s="74"/>
      <c r="AA14" s="16"/>
      <c r="AB14" s="73"/>
    </row>
    <row r="15" spans="1:28" s="4" customFormat="1" ht="18" outlineLevel="2" x14ac:dyDescent="0.25">
      <c r="A15" s="30" t="s">
        <v>1</v>
      </c>
      <c r="C15" s="61" t="s">
        <v>197</v>
      </c>
      <c r="D15" s="6"/>
      <c r="E15" s="7">
        <v>600</v>
      </c>
      <c r="F15" s="7">
        <f t="shared" ref="F15:F22" si="0">(E15/10)*12</f>
        <v>720</v>
      </c>
      <c r="G15" s="6"/>
      <c r="H15" s="75">
        <v>1214</v>
      </c>
      <c r="I15" s="16"/>
      <c r="J15" s="77">
        <f>H15/$H$36</f>
        <v>4.2238026728459903E-3</v>
      </c>
      <c r="K15" s="16"/>
      <c r="L15" s="16"/>
      <c r="M15" s="105" t="s">
        <v>152</v>
      </c>
      <c r="N15" s="16"/>
      <c r="O15" s="75">
        <v>1220</v>
      </c>
      <c r="P15" s="16"/>
      <c r="Q15" s="77">
        <f>O15/$O$36</f>
        <v>3.833425592156635E-3</v>
      </c>
      <c r="R15" s="16"/>
      <c r="S15" s="73">
        <f>O15/12</f>
        <v>101.66666666666667</v>
      </c>
      <c r="T15" s="163">
        <v>1220</v>
      </c>
      <c r="U15" s="73">
        <f>(2741.5/10)*12</f>
        <v>3289.7999999999997</v>
      </c>
      <c r="V15" s="177"/>
      <c r="W15" s="16"/>
      <c r="X15" s="75">
        <v>1220</v>
      </c>
      <c r="Y15" s="16"/>
      <c r="Z15" s="77">
        <f>X15/$X$36</f>
        <v>3.7812808003917656E-3</v>
      </c>
      <c r="AA15" s="16"/>
      <c r="AB15" s="73">
        <f>X15/12</f>
        <v>101.66666666666667</v>
      </c>
    </row>
    <row r="16" spans="1:28" s="4" customFormat="1" ht="18" outlineLevel="2" x14ac:dyDescent="0.25">
      <c r="A16" s="30"/>
      <c r="C16" s="69" t="s">
        <v>147</v>
      </c>
      <c r="D16" s="6"/>
      <c r="E16" s="7"/>
      <c r="F16" s="7">
        <f t="shared" si="0"/>
        <v>0</v>
      </c>
      <c r="G16" s="6"/>
      <c r="H16" s="75"/>
      <c r="I16" s="16"/>
      <c r="J16" s="77"/>
      <c r="K16" s="16"/>
      <c r="L16" s="16"/>
      <c r="M16" s="106" t="s">
        <v>155</v>
      </c>
      <c r="N16" s="16"/>
      <c r="O16" s="75"/>
      <c r="P16" s="16"/>
      <c r="Q16" s="77"/>
      <c r="R16" s="16"/>
      <c r="S16" s="73"/>
      <c r="T16" s="163"/>
      <c r="U16" s="103">
        <f>(500/10)*12</f>
        <v>600</v>
      </c>
      <c r="V16" s="73"/>
      <c r="W16" s="16"/>
      <c r="X16" s="75"/>
      <c r="Y16" s="16"/>
      <c r="Z16" s="77"/>
      <c r="AA16" s="16"/>
      <c r="AB16" s="73"/>
    </row>
    <row r="17" spans="1:28" s="98" customFormat="1" ht="45" outlineLevel="2" x14ac:dyDescent="0.2">
      <c r="A17" s="30" t="s">
        <v>96</v>
      </c>
      <c r="C17" s="97" t="s">
        <v>96</v>
      </c>
      <c r="D17" s="97"/>
      <c r="E17" s="99">
        <v>0</v>
      </c>
      <c r="F17" s="7">
        <f t="shared" si="0"/>
        <v>0</v>
      </c>
      <c r="G17" s="97"/>
      <c r="H17" s="100">
        <v>500</v>
      </c>
      <c r="I17" s="101"/>
      <c r="J17" s="102">
        <f t="shared" ref="J17:J22" si="1">H17/$H$36</f>
        <v>1.7396221881573273E-3</v>
      </c>
      <c r="K17" s="101"/>
      <c r="L17" s="101"/>
      <c r="M17" s="123" t="s">
        <v>153</v>
      </c>
      <c r="N17" s="101"/>
      <c r="O17" s="100">
        <v>500</v>
      </c>
      <c r="P17" s="101"/>
      <c r="Q17" s="102">
        <f t="shared" ref="Q17:Q22" si="2">O17/$O$36</f>
        <v>1.5710760623592766E-3</v>
      </c>
      <c r="R17" s="101"/>
      <c r="S17" s="103">
        <f t="shared" ref="S17:S23" si="3">O17/12</f>
        <v>41.666666666666664</v>
      </c>
      <c r="T17" s="165">
        <v>500</v>
      </c>
      <c r="V17" s="111"/>
      <c r="W17" s="101"/>
      <c r="X17" s="100">
        <v>500</v>
      </c>
      <c r="Y17" s="101"/>
      <c r="Z17" s="102">
        <f t="shared" ref="Z17:Z22" si="4">X17/$X$36</f>
        <v>1.549705246062199E-3</v>
      </c>
      <c r="AA17" s="101"/>
      <c r="AB17" s="103">
        <f t="shared" ref="AB17:AB23" si="5">X17/12</f>
        <v>41.666666666666664</v>
      </c>
    </row>
    <row r="18" spans="1:28" s="4" customFormat="1" ht="18" hidden="1" outlineLevel="2" x14ac:dyDescent="0.25">
      <c r="A18" s="29" t="s">
        <v>1</v>
      </c>
      <c r="C18" s="61" t="s">
        <v>93</v>
      </c>
      <c r="D18" s="6"/>
      <c r="E18" s="7">
        <v>0</v>
      </c>
      <c r="F18" s="7">
        <f t="shared" si="0"/>
        <v>0</v>
      </c>
      <c r="G18" s="6"/>
      <c r="H18" s="75"/>
      <c r="I18" s="16"/>
      <c r="J18" s="77">
        <f t="shared" si="1"/>
        <v>0</v>
      </c>
      <c r="K18" s="16"/>
      <c r="L18" s="16"/>
      <c r="M18" s="73"/>
      <c r="N18" s="16"/>
      <c r="O18" s="75"/>
      <c r="P18" s="16"/>
      <c r="Q18" s="77">
        <f t="shared" si="2"/>
        <v>0</v>
      </c>
      <c r="R18" s="16"/>
      <c r="S18" s="73">
        <f t="shared" si="3"/>
        <v>0</v>
      </c>
      <c r="T18" s="163"/>
      <c r="U18" s="75"/>
      <c r="V18" s="73"/>
      <c r="W18" s="16"/>
      <c r="X18" s="75"/>
      <c r="Y18" s="16"/>
      <c r="Z18" s="77">
        <f t="shared" si="4"/>
        <v>0</v>
      </c>
      <c r="AA18" s="16"/>
      <c r="AB18" s="73">
        <f t="shared" si="5"/>
        <v>0</v>
      </c>
    </row>
    <row r="19" spans="1:28" s="4" customFormat="1" ht="18" outlineLevel="2" x14ac:dyDescent="0.25">
      <c r="A19" s="29" t="s">
        <v>1</v>
      </c>
      <c r="C19" s="61" t="s">
        <v>92</v>
      </c>
      <c r="D19" s="6"/>
      <c r="E19" s="7">
        <v>200</v>
      </c>
      <c r="F19" s="7">
        <f t="shared" si="0"/>
        <v>240</v>
      </c>
      <c r="G19" s="6"/>
      <c r="H19" s="75"/>
      <c r="I19" s="16"/>
      <c r="J19" s="77">
        <f t="shared" si="1"/>
        <v>0</v>
      </c>
      <c r="K19" s="16"/>
      <c r="L19" s="16"/>
      <c r="M19" s="73"/>
      <c r="N19" s="16"/>
      <c r="O19" s="75"/>
      <c r="P19" s="16"/>
      <c r="Q19" s="77">
        <f t="shared" si="2"/>
        <v>0</v>
      </c>
      <c r="R19" s="16"/>
      <c r="S19" s="73">
        <f t="shared" si="3"/>
        <v>0</v>
      </c>
      <c r="T19" s="163"/>
      <c r="U19" s="103">
        <f>(600/10)*12</f>
        <v>720</v>
      </c>
      <c r="V19" s="73"/>
      <c r="W19" s="16"/>
      <c r="X19" s="75"/>
      <c r="Y19" s="16"/>
      <c r="Z19" s="77">
        <f t="shared" si="4"/>
        <v>0</v>
      </c>
      <c r="AA19" s="16"/>
      <c r="AB19" s="73">
        <f t="shared" si="5"/>
        <v>0</v>
      </c>
    </row>
    <row r="20" spans="1:28" s="4" customFormat="1" ht="18" outlineLevel="2" x14ac:dyDescent="0.25">
      <c r="A20" s="30" t="s">
        <v>139</v>
      </c>
      <c r="C20" s="6" t="s">
        <v>139</v>
      </c>
      <c r="D20" s="6"/>
      <c r="E20" s="7">
        <v>68198.86</v>
      </c>
      <c r="F20" s="7">
        <f t="shared" si="0"/>
        <v>81838.632000000012</v>
      </c>
      <c r="G20" s="6"/>
      <c r="H20" s="75">
        <v>0</v>
      </c>
      <c r="I20" s="16"/>
      <c r="J20" s="77">
        <f t="shared" si="1"/>
        <v>0</v>
      </c>
      <c r="K20" s="16"/>
      <c r="L20" s="16"/>
      <c r="M20" s="127"/>
      <c r="N20" s="16"/>
      <c r="O20" s="75">
        <v>0</v>
      </c>
      <c r="P20" s="16"/>
      <c r="Q20" s="77">
        <f t="shared" si="2"/>
        <v>0</v>
      </c>
      <c r="R20" s="16"/>
      <c r="S20" s="73">
        <f t="shared" si="3"/>
        <v>0</v>
      </c>
      <c r="T20" s="163">
        <v>0</v>
      </c>
      <c r="U20" s="75"/>
      <c r="V20" s="127"/>
      <c r="W20" s="16"/>
      <c r="X20" s="75">
        <v>0</v>
      </c>
      <c r="Y20" s="16"/>
      <c r="Z20" s="77">
        <f t="shared" si="4"/>
        <v>0</v>
      </c>
      <c r="AA20" s="16"/>
      <c r="AB20" s="73">
        <f t="shared" si="5"/>
        <v>0</v>
      </c>
    </row>
    <row r="21" spans="1:28" s="4" customFormat="1" ht="18" outlineLevel="2" x14ac:dyDescent="0.25">
      <c r="A21" s="30" t="s">
        <v>1</v>
      </c>
      <c r="C21" s="61" t="s">
        <v>2</v>
      </c>
      <c r="D21" s="6"/>
      <c r="E21" s="7"/>
      <c r="F21" s="7">
        <f t="shared" si="0"/>
        <v>0</v>
      </c>
      <c r="G21" s="6"/>
      <c r="H21" s="75"/>
      <c r="I21" s="16"/>
      <c r="J21" s="77">
        <f t="shared" si="1"/>
        <v>0</v>
      </c>
      <c r="K21" s="16"/>
      <c r="L21" s="16"/>
      <c r="M21" s="73"/>
      <c r="N21" s="16"/>
      <c r="O21" s="75"/>
      <c r="P21" s="16"/>
      <c r="Q21" s="77">
        <f t="shared" si="2"/>
        <v>0</v>
      </c>
      <c r="R21" s="16"/>
      <c r="S21" s="73">
        <f t="shared" si="3"/>
        <v>0</v>
      </c>
      <c r="T21" s="163"/>
      <c r="U21" s="75"/>
      <c r="V21" s="73"/>
      <c r="W21" s="16"/>
      <c r="X21" s="75">
        <v>18875.64</v>
      </c>
      <c r="Y21" s="16"/>
      <c r="Z21" s="77">
        <f t="shared" si="4"/>
        <v>5.850335666156297E-2</v>
      </c>
      <c r="AA21" s="16"/>
      <c r="AB21" s="73">
        <f t="shared" si="5"/>
        <v>1572.97</v>
      </c>
    </row>
    <row r="22" spans="1:28" s="4" customFormat="1" ht="18" outlineLevel="2" x14ac:dyDescent="0.25">
      <c r="A22" s="30" t="s">
        <v>1</v>
      </c>
      <c r="C22" s="6" t="s">
        <v>95</v>
      </c>
      <c r="D22" s="6"/>
      <c r="E22" s="7"/>
      <c r="F22" s="7">
        <f t="shared" si="0"/>
        <v>0</v>
      </c>
      <c r="G22" s="6"/>
      <c r="H22" s="75"/>
      <c r="I22" s="16"/>
      <c r="J22" s="77">
        <f t="shared" si="1"/>
        <v>0</v>
      </c>
      <c r="K22" s="16"/>
      <c r="L22" s="16"/>
      <c r="M22" s="73"/>
      <c r="N22" s="16"/>
      <c r="O22" s="75"/>
      <c r="P22" s="16"/>
      <c r="Q22" s="77">
        <f t="shared" si="2"/>
        <v>0</v>
      </c>
      <c r="R22" s="16"/>
      <c r="S22" s="73">
        <f t="shared" si="3"/>
        <v>0</v>
      </c>
      <c r="T22" s="163"/>
      <c r="U22" s="75"/>
      <c r="V22" s="73"/>
      <c r="W22" s="16"/>
      <c r="X22" s="75"/>
      <c r="Y22" s="16"/>
      <c r="Z22" s="77">
        <f t="shared" si="4"/>
        <v>0</v>
      </c>
      <c r="AA22" s="16"/>
      <c r="AB22" s="73">
        <f t="shared" si="5"/>
        <v>0</v>
      </c>
    </row>
    <row r="23" spans="1:28" s="4" customFormat="1" ht="18" outlineLevel="1" x14ac:dyDescent="0.25">
      <c r="A23" s="28" t="s">
        <v>101</v>
      </c>
      <c r="B23" s="27"/>
      <c r="C23" s="62"/>
      <c r="D23" s="24"/>
      <c r="E23" s="78">
        <f>SUBTOTAL(9,E14:E22)</f>
        <v>68998.86</v>
      </c>
      <c r="F23" s="78">
        <f>SUBTOTAL(9,F14:F22)</f>
        <v>82798.632000000012</v>
      </c>
      <c r="G23" s="24"/>
      <c r="H23" s="78">
        <f>SUBTOTAL(9,H14:H22)</f>
        <v>1714</v>
      </c>
      <c r="I23" s="81"/>
      <c r="J23" s="80">
        <f>SUBTOTAL(9,J14:J22)</f>
        <v>5.9634248610033174E-3</v>
      </c>
      <c r="K23" s="81"/>
      <c r="L23" s="81"/>
      <c r="M23" s="82"/>
      <c r="N23" s="81"/>
      <c r="O23" s="78">
        <f>SUBTOTAL(9,O14:O22)</f>
        <v>1720</v>
      </c>
      <c r="P23" s="81"/>
      <c r="Q23" s="80">
        <f>SUBTOTAL(9,Q14:Q22)</f>
        <v>5.4045016545159119E-3</v>
      </c>
      <c r="R23" s="81"/>
      <c r="S23" s="82">
        <f t="shared" si="3"/>
        <v>143.33333333333334</v>
      </c>
      <c r="T23" s="164">
        <f>SUBTOTAL(9,T14:T22)</f>
        <v>1720</v>
      </c>
      <c r="U23" s="78">
        <f>SUM(U15:U22)</f>
        <v>4609.7999999999993</v>
      </c>
      <c r="V23" s="82"/>
      <c r="W23" s="81"/>
      <c r="X23" s="78">
        <f>SUBTOTAL(9,X14:X22)</f>
        <v>20595.64</v>
      </c>
      <c r="Y23" s="81"/>
      <c r="Z23" s="80">
        <f>SUBTOTAL(9,Z14:Z22)</f>
        <v>6.3834342708016939E-2</v>
      </c>
      <c r="AA23" s="81"/>
      <c r="AB23" s="82">
        <f t="shared" si="5"/>
        <v>1716.3033333333333</v>
      </c>
    </row>
    <row r="24" spans="1:28" s="4" customFormat="1" ht="18" outlineLevel="2" x14ac:dyDescent="0.25">
      <c r="A24" s="6" t="s">
        <v>3</v>
      </c>
      <c r="C24" s="60" t="s">
        <v>3</v>
      </c>
      <c r="D24" s="6"/>
      <c r="E24" s="7">
        <v>333.13</v>
      </c>
      <c r="F24" s="7"/>
      <c r="G24" s="6"/>
      <c r="H24" s="75"/>
      <c r="I24" s="16"/>
      <c r="J24" s="74"/>
      <c r="K24" s="16"/>
      <c r="L24" s="16"/>
      <c r="M24" s="73"/>
      <c r="N24" s="16"/>
      <c r="O24" s="75"/>
      <c r="P24" s="16"/>
      <c r="Q24" s="74"/>
      <c r="R24" s="16"/>
      <c r="S24" s="73"/>
      <c r="T24" s="163"/>
      <c r="U24" s="75">
        <f>(4850.86/10)*12</f>
        <v>5821.0319999999992</v>
      </c>
      <c r="V24" s="241"/>
      <c r="W24" s="16"/>
      <c r="X24" s="75"/>
      <c r="Y24" s="16"/>
      <c r="Z24" s="74"/>
      <c r="AA24" s="16"/>
      <c r="AB24" s="73"/>
    </row>
    <row r="25" spans="1:28" s="4" customFormat="1" ht="18" outlineLevel="2" x14ac:dyDescent="0.25">
      <c r="A25" s="29" t="s">
        <v>3</v>
      </c>
      <c r="C25" s="61" t="s">
        <v>172</v>
      </c>
      <c r="D25" s="6"/>
      <c r="E25" s="7">
        <v>700</v>
      </c>
      <c r="F25" s="7">
        <f t="shared" ref="F25:F31" si="6">(E25/10)*12</f>
        <v>840</v>
      </c>
      <c r="G25" s="6"/>
      <c r="H25" s="75">
        <v>700</v>
      </c>
      <c r="I25" s="16"/>
      <c r="J25" s="77">
        <f t="shared" ref="J25:J31" si="7">H25/$H$36</f>
        <v>2.435471063420258E-3</v>
      </c>
      <c r="K25" s="16"/>
      <c r="L25" s="16"/>
      <c r="M25" s="73"/>
      <c r="N25" s="16"/>
      <c r="O25" s="75">
        <v>350</v>
      </c>
      <c r="P25" s="16"/>
      <c r="Q25" s="77">
        <f t="shared" ref="Q25:Q32" si="8">O25/$O$36</f>
        <v>1.0997532436514937E-3</v>
      </c>
      <c r="R25" s="16"/>
      <c r="S25" s="73">
        <f t="shared" ref="S25:S31" si="9">O25/12</f>
        <v>29.166666666666668</v>
      </c>
      <c r="T25" s="163">
        <v>350</v>
      </c>
      <c r="U25" s="75"/>
      <c r="V25" s="73"/>
      <c r="W25" s="16"/>
      <c r="X25" s="75">
        <v>350</v>
      </c>
      <c r="Y25" s="16"/>
      <c r="Z25" s="77">
        <f t="shared" ref="Z25:Z31" si="10">X25/$X$36</f>
        <v>1.0847936722435392E-3</v>
      </c>
      <c r="AA25" s="16"/>
      <c r="AB25" s="73">
        <f t="shared" ref="AB25" si="11">X25/12</f>
        <v>29.166666666666668</v>
      </c>
    </row>
    <row r="26" spans="1:28" s="4" customFormat="1" ht="18" outlineLevel="2" x14ac:dyDescent="0.25">
      <c r="A26" s="29" t="s">
        <v>3</v>
      </c>
      <c r="C26" s="61" t="s">
        <v>4</v>
      </c>
      <c r="D26" s="6"/>
      <c r="E26" s="7">
        <v>308.55</v>
      </c>
      <c r="F26" s="7">
        <f t="shared" si="6"/>
        <v>370.26</v>
      </c>
      <c r="G26" s="6"/>
      <c r="H26" s="75">
        <v>700</v>
      </c>
      <c r="I26" s="16"/>
      <c r="J26" s="77">
        <f t="shared" si="7"/>
        <v>2.435471063420258E-3</v>
      </c>
      <c r="K26" s="16"/>
      <c r="L26" s="16"/>
      <c r="M26" s="73"/>
      <c r="N26" s="16"/>
      <c r="O26" s="75">
        <v>350</v>
      </c>
      <c r="P26" s="16"/>
      <c r="Q26" s="77">
        <f t="shared" si="8"/>
        <v>1.0997532436514937E-3</v>
      </c>
      <c r="R26" s="16"/>
      <c r="S26" s="73">
        <f>O26/12</f>
        <v>29.166666666666668</v>
      </c>
      <c r="T26" s="163">
        <v>350</v>
      </c>
      <c r="U26" s="75">
        <f>(342.44/10)*12</f>
        <v>410.928</v>
      </c>
      <c r="V26" s="73"/>
      <c r="W26" s="16"/>
      <c r="X26" s="75">
        <v>350</v>
      </c>
      <c r="Y26" s="16"/>
      <c r="Z26" s="77">
        <f t="shared" si="10"/>
        <v>1.0847936722435392E-3</v>
      </c>
      <c r="AA26" s="16"/>
      <c r="AB26" s="73">
        <f>X26/12</f>
        <v>29.166666666666668</v>
      </c>
    </row>
    <row r="27" spans="1:28" s="4" customFormat="1" ht="18" outlineLevel="2" x14ac:dyDescent="0.25">
      <c r="A27" s="30" t="s">
        <v>3</v>
      </c>
      <c r="C27" s="61" t="s">
        <v>44</v>
      </c>
      <c r="D27" s="6"/>
      <c r="E27" s="7">
        <v>0</v>
      </c>
      <c r="F27" s="7">
        <f t="shared" si="6"/>
        <v>0</v>
      </c>
      <c r="G27" s="6"/>
      <c r="H27" s="75">
        <v>0</v>
      </c>
      <c r="I27" s="16"/>
      <c r="J27" s="77">
        <f t="shared" si="7"/>
        <v>0</v>
      </c>
      <c r="K27" s="16"/>
      <c r="L27" s="16"/>
      <c r="M27" s="73"/>
      <c r="N27" s="16"/>
      <c r="O27" s="75">
        <v>0</v>
      </c>
      <c r="P27" s="16"/>
      <c r="Q27" s="77">
        <f t="shared" si="8"/>
        <v>0</v>
      </c>
      <c r="R27" s="16"/>
      <c r="S27" s="73">
        <f t="shared" si="9"/>
        <v>0</v>
      </c>
      <c r="T27" s="163">
        <v>0</v>
      </c>
      <c r="U27" s="75"/>
      <c r="V27" s="73"/>
      <c r="W27" s="16"/>
      <c r="X27" s="75">
        <v>0</v>
      </c>
      <c r="Y27" s="16"/>
      <c r="Z27" s="77">
        <f t="shared" si="10"/>
        <v>0</v>
      </c>
      <c r="AA27" s="16"/>
      <c r="AB27" s="73">
        <f t="shared" ref="AB27:AB31" si="12">X27/12</f>
        <v>0</v>
      </c>
    </row>
    <row r="28" spans="1:28" s="4" customFormat="1" ht="18" outlineLevel="2" x14ac:dyDescent="0.25">
      <c r="A28" s="30" t="s">
        <v>3</v>
      </c>
      <c r="C28" s="6" t="s">
        <v>45</v>
      </c>
      <c r="D28" s="6"/>
      <c r="E28" s="7">
        <v>255</v>
      </c>
      <c r="F28" s="7">
        <f t="shared" si="6"/>
        <v>306</v>
      </c>
      <c r="G28" s="6"/>
      <c r="H28" s="75">
        <v>5120</v>
      </c>
      <c r="I28" s="16"/>
      <c r="J28" s="77">
        <f t="shared" si="7"/>
        <v>1.7813731206731031E-2</v>
      </c>
      <c r="K28" s="16"/>
      <c r="L28" s="16"/>
      <c r="M28" s="73"/>
      <c r="N28" s="16"/>
      <c r="O28" s="75">
        <v>3000</v>
      </c>
      <c r="P28" s="16"/>
      <c r="Q28" s="77">
        <f t="shared" si="8"/>
        <v>9.4264563741556593E-3</v>
      </c>
      <c r="R28" s="16"/>
      <c r="S28" s="73">
        <f t="shared" si="9"/>
        <v>250</v>
      </c>
      <c r="T28" s="163">
        <v>3000</v>
      </c>
      <c r="U28" s="75"/>
      <c r="V28" s="73"/>
      <c r="W28" s="16"/>
      <c r="X28" s="75">
        <v>3000</v>
      </c>
      <c r="Y28" s="16"/>
      <c r="Z28" s="77">
        <f t="shared" si="10"/>
        <v>9.2982314763731932E-3</v>
      </c>
      <c r="AA28" s="16"/>
      <c r="AB28" s="73">
        <f t="shared" si="12"/>
        <v>250</v>
      </c>
    </row>
    <row r="29" spans="1:28" s="4" customFormat="1" ht="18" outlineLevel="2" x14ac:dyDescent="0.25">
      <c r="A29" s="29" t="s">
        <v>3</v>
      </c>
      <c r="C29" s="6" t="s">
        <v>46</v>
      </c>
      <c r="D29" s="6"/>
      <c r="E29" s="7">
        <v>0</v>
      </c>
      <c r="F29" s="7">
        <f t="shared" si="6"/>
        <v>0</v>
      </c>
      <c r="G29" s="6"/>
      <c r="H29" s="75">
        <v>0</v>
      </c>
      <c r="I29" s="16"/>
      <c r="J29" s="77">
        <f t="shared" si="7"/>
        <v>0</v>
      </c>
      <c r="K29" s="16"/>
      <c r="L29" s="16"/>
      <c r="M29" s="73"/>
      <c r="N29" s="16"/>
      <c r="O29" s="75">
        <v>0</v>
      </c>
      <c r="P29" s="16"/>
      <c r="Q29" s="77">
        <f t="shared" si="8"/>
        <v>0</v>
      </c>
      <c r="R29" s="16"/>
      <c r="S29" s="73">
        <f t="shared" si="9"/>
        <v>0</v>
      </c>
      <c r="T29" s="163">
        <v>0</v>
      </c>
      <c r="U29" s="75"/>
      <c r="V29" s="73"/>
      <c r="W29" s="16"/>
      <c r="X29" s="75">
        <v>0</v>
      </c>
      <c r="Y29" s="16"/>
      <c r="Z29" s="77">
        <f t="shared" si="10"/>
        <v>0</v>
      </c>
      <c r="AA29" s="16"/>
      <c r="AB29" s="73">
        <f t="shared" si="12"/>
        <v>0</v>
      </c>
    </row>
    <row r="30" spans="1:28" s="4" customFormat="1" ht="18" outlineLevel="2" x14ac:dyDescent="0.25">
      <c r="A30" s="30" t="s">
        <v>3</v>
      </c>
      <c r="C30" s="6" t="s">
        <v>47</v>
      </c>
      <c r="D30" s="6"/>
      <c r="E30" s="7"/>
      <c r="F30" s="7">
        <f t="shared" si="6"/>
        <v>0</v>
      </c>
      <c r="G30" s="6"/>
      <c r="H30" s="75">
        <v>0</v>
      </c>
      <c r="I30" s="16"/>
      <c r="J30" s="77">
        <f t="shared" si="7"/>
        <v>0</v>
      </c>
      <c r="K30" s="16"/>
      <c r="L30" s="16"/>
      <c r="M30" s="73"/>
      <c r="N30" s="16"/>
      <c r="O30" s="75">
        <v>0</v>
      </c>
      <c r="P30" s="16"/>
      <c r="Q30" s="77">
        <f t="shared" si="8"/>
        <v>0</v>
      </c>
      <c r="R30" s="16"/>
      <c r="S30" s="73">
        <f t="shared" si="9"/>
        <v>0</v>
      </c>
      <c r="T30" s="163">
        <v>0</v>
      </c>
      <c r="U30" s="75"/>
      <c r="V30" s="73"/>
      <c r="W30" s="16"/>
      <c r="X30" s="75">
        <v>0</v>
      </c>
      <c r="Y30" s="16"/>
      <c r="Z30" s="77">
        <f t="shared" si="10"/>
        <v>0</v>
      </c>
      <c r="AA30" s="16"/>
      <c r="AB30" s="73">
        <f t="shared" si="12"/>
        <v>0</v>
      </c>
    </row>
    <row r="31" spans="1:28" s="4" customFormat="1" ht="18" hidden="1" outlineLevel="2" x14ac:dyDescent="0.25">
      <c r="A31" s="29" t="s">
        <v>3</v>
      </c>
      <c r="B31" s="178"/>
      <c r="C31" s="148" t="s">
        <v>136</v>
      </c>
      <c r="D31" s="6"/>
      <c r="E31" s="7">
        <v>17964</v>
      </c>
      <c r="F31" s="7">
        <f t="shared" si="6"/>
        <v>21556.800000000003</v>
      </c>
      <c r="G31" s="6"/>
      <c r="H31" s="75">
        <v>12000</v>
      </c>
      <c r="I31" s="16"/>
      <c r="J31" s="77">
        <f t="shared" si="7"/>
        <v>4.175093251577585E-2</v>
      </c>
      <c r="K31" s="16"/>
      <c r="L31" s="16"/>
      <c r="M31" s="73"/>
      <c r="N31" s="16"/>
      <c r="O31" s="75">
        <v>14000</v>
      </c>
      <c r="P31" s="16"/>
      <c r="Q31" s="77">
        <f t="shared" si="8"/>
        <v>4.3990129746059745E-2</v>
      </c>
      <c r="R31" s="16"/>
      <c r="S31" s="73">
        <f t="shared" si="9"/>
        <v>1166.6666666666667</v>
      </c>
      <c r="T31" s="163">
        <v>14000</v>
      </c>
      <c r="U31" s="75"/>
      <c r="V31" s="73"/>
      <c r="W31" s="16"/>
      <c r="X31" s="75"/>
      <c r="Y31" s="16"/>
      <c r="Z31" s="77">
        <f t="shared" si="10"/>
        <v>0</v>
      </c>
      <c r="AA31" s="16"/>
      <c r="AB31" s="73">
        <f t="shared" si="12"/>
        <v>0</v>
      </c>
    </row>
    <row r="32" spans="1:28" s="13" customFormat="1" ht="18" outlineLevel="1" collapsed="1" x14ac:dyDescent="0.25">
      <c r="A32" s="28" t="s">
        <v>102</v>
      </c>
      <c r="B32" s="22"/>
      <c r="C32" s="63"/>
      <c r="D32" s="24"/>
      <c r="E32" s="78">
        <f>SUBTOTAL(9,E24:E31)</f>
        <v>19560.68</v>
      </c>
      <c r="F32" s="78">
        <f>SUBTOTAL(9,F24:F31)</f>
        <v>23073.06</v>
      </c>
      <c r="G32" s="24"/>
      <c r="H32" s="78">
        <f>SUBTOTAL(9,H24:H31)</f>
        <v>18520</v>
      </c>
      <c r="I32" s="81"/>
      <c r="J32" s="80">
        <f>SUBTOTAL(9,J24:J31)</f>
        <v>6.4435605849347405E-2</v>
      </c>
      <c r="K32" s="81"/>
      <c r="L32" s="81"/>
      <c r="M32" s="82"/>
      <c r="N32" s="81"/>
      <c r="O32" s="78">
        <f>SUBTOTAL(9,O24:O31)</f>
        <v>17700</v>
      </c>
      <c r="P32" s="81"/>
      <c r="Q32" s="80">
        <f t="shared" si="8"/>
        <v>5.5616092607518396E-2</v>
      </c>
      <c r="R32" s="81"/>
      <c r="S32" s="82">
        <f>SUBTOTAL(9,S24:S31)</f>
        <v>1475</v>
      </c>
      <c r="T32" s="164">
        <f>SUBTOTAL(9,T24:T31)</f>
        <v>17700</v>
      </c>
      <c r="U32" s="78">
        <f>SUM(U23:U25)</f>
        <v>10430.831999999999</v>
      </c>
      <c r="V32" s="82"/>
      <c r="W32" s="81"/>
      <c r="X32" s="78">
        <f>SUBTOTAL(9,X24:X31)</f>
        <v>3700</v>
      </c>
      <c r="Y32" s="81"/>
      <c r="Z32" s="80">
        <f t="shared" ref="Z32" si="13">X32/$O$36</f>
        <v>1.1625962861458648E-2</v>
      </c>
      <c r="AA32" s="81"/>
      <c r="AB32" s="82">
        <f>SUBTOTAL(9,AB24:AB31)</f>
        <v>308.33333333333331</v>
      </c>
    </row>
    <row r="33" spans="1:28" s="13" customFormat="1" ht="18" outlineLevel="1" x14ac:dyDescent="0.25">
      <c r="A33" s="6"/>
      <c r="C33" s="60"/>
      <c r="D33" s="6"/>
      <c r="E33" s="7"/>
      <c r="F33" s="7"/>
      <c r="G33" s="6"/>
      <c r="H33" s="75"/>
      <c r="I33" s="16"/>
      <c r="J33" s="83"/>
      <c r="K33" s="16"/>
      <c r="L33" s="16"/>
      <c r="M33" s="73"/>
      <c r="N33" s="16"/>
      <c r="O33" s="75"/>
      <c r="P33" s="16"/>
      <c r="Q33" s="83"/>
      <c r="R33" s="16"/>
      <c r="S33" s="73"/>
      <c r="T33" s="163"/>
      <c r="U33" s="75"/>
      <c r="V33" s="73"/>
      <c r="W33" s="16"/>
      <c r="X33" s="75"/>
      <c r="Y33" s="16"/>
      <c r="Z33" s="83"/>
      <c r="AA33" s="16"/>
      <c r="AB33" s="73"/>
    </row>
    <row r="34" spans="1:28" s="4" customFormat="1" ht="18" outlineLevel="2" x14ac:dyDescent="0.25">
      <c r="A34" s="30" t="s">
        <v>5</v>
      </c>
      <c r="C34" s="6" t="s">
        <v>5</v>
      </c>
      <c r="D34" s="6"/>
      <c r="E34" s="7">
        <v>0</v>
      </c>
      <c r="F34" s="7">
        <f>(E34/10)*12</f>
        <v>0</v>
      </c>
      <c r="G34" s="6"/>
      <c r="H34" s="75">
        <v>263584.73</v>
      </c>
      <c r="I34" s="16"/>
      <c r="J34" s="77">
        <f>H34/$H$36</f>
        <v>0.91707568953491647</v>
      </c>
      <c r="K34" s="16"/>
      <c r="L34" s="16"/>
      <c r="M34" s="73"/>
      <c r="N34" s="16"/>
      <c r="O34" s="75">
        <v>295333.21000000002</v>
      </c>
      <c r="P34" s="16"/>
      <c r="Q34" s="77">
        <f>O34/$O$36</f>
        <v>0.92798187330145077</v>
      </c>
      <c r="R34" s="16"/>
      <c r="S34" s="73">
        <f>O34/12</f>
        <v>24611.100833333334</v>
      </c>
      <c r="T34" s="163">
        <v>273554.31</v>
      </c>
      <c r="U34" s="73">
        <f>X210</f>
        <v>294846.36</v>
      </c>
      <c r="V34" s="73"/>
      <c r="W34" s="16"/>
      <c r="X34" s="75">
        <f>X210</f>
        <v>294846.36</v>
      </c>
      <c r="Y34" s="16"/>
      <c r="Z34" s="77">
        <f>X34/$X$36</f>
        <v>0.91384990174868741</v>
      </c>
      <c r="AA34" s="16"/>
      <c r="AB34" s="73">
        <f>X34/12</f>
        <v>24570.53</v>
      </c>
    </row>
    <row r="35" spans="1:28" s="4" customFormat="1" ht="18" outlineLevel="1" x14ac:dyDescent="0.25">
      <c r="A35" s="6" t="s">
        <v>103</v>
      </c>
      <c r="C35" s="60"/>
      <c r="D35" s="6"/>
      <c r="E35" s="7"/>
      <c r="F35" s="7"/>
      <c r="G35" s="6"/>
      <c r="H35" s="75">
        <f>SUBTOTAL(9,H34:H34)</f>
        <v>263584.73</v>
      </c>
      <c r="I35" s="16"/>
      <c r="J35" s="84">
        <f>SUBTOTAL(9,J34:J34)</f>
        <v>0.91707568953491647</v>
      </c>
      <c r="K35" s="16"/>
      <c r="L35" s="16"/>
      <c r="M35" s="73"/>
      <c r="N35" s="16"/>
      <c r="O35" s="75">
        <f>SUBTOTAL(9,O34:O34)</f>
        <v>295333.21000000002</v>
      </c>
      <c r="P35" s="16"/>
      <c r="Q35" s="77">
        <f>O35/$O$36</f>
        <v>0.92798187330145077</v>
      </c>
      <c r="R35" s="16"/>
      <c r="S35" s="73">
        <f>SUBTOTAL(9,S34:S34)</f>
        <v>24611.100833333334</v>
      </c>
      <c r="T35" s="163">
        <f>SUBTOTAL(9,T34:T34)</f>
        <v>273554.31</v>
      </c>
      <c r="U35" s="75">
        <f>SUM(U34)</f>
        <v>294846.36</v>
      </c>
      <c r="V35" s="73"/>
      <c r="W35" s="16"/>
      <c r="X35" s="75">
        <f>SUBTOTAL(9,X34:X34)</f>
        <v>294846.36</v>
      </c>
      <c r="Y35" s="16"/>
      <c r="Z35" s="77">
        <f>X35/$X$36</f>
        <v>0.91384990174868741</v>
      </c>
      <c r="AA35" s="16"/>
      <c r="AB35" s="73">
        <f>SUBTOTAL(9,AB34:AB34)</f>
        <v>24570.53</v>
      </c>
    </row>
    <row r="36" spans="1:28" s="13" customFormat="1" ht="18" x14ac:dyDescent="0.25">
      <c r="A36" s="37"/>
      <c r="B36" s="37"/>
      <c r="C36" s="64" t="s">
        <v>138</v>
      </c>
      <c r="D36" s="38"/>
      <c r="E36" s="85">
        <f>SUBTOTAL(9,E3:E35)</f>
        <v>95918.69</v>
      </c>
      <c r="F36" s="85">
        <f>SUBTOTAL(9,F3:F35)</f>
        <v>114102.67200000001</v>
      </c>
      <c r="G36" s="38"/>
      <c r="H36" s="85">
        <f>SUBTOTAL(9,H3:H35)</f>
        <v>287418.73</v>
      </c>
      <c r="I36" s="86"/>
      <c r="J36" s="87">
        <f>SUBTOTAL(9,J3:J34)</f>
        <v>1</v>
      </c>
      <c r="K36" s="86"/>
      <c r="L36" s="78"/>
      <c r="M36" s="85"/>
      <c r="N36" s="86"/>
      <c r="O36" s="85">
        <f>SUBTOTAL(9,O3:O35)</f>
        <v>318253.21000000002</v>
      </c>
      <c r="P36" s="86"/>
      <c r="Q36" s="87">
        <f>SUBTOTAL(9,Q3:Q34)</f>
        <v>1.0556160926075184</v>
      </c>
      <c r="R36" s="86"/>
      <c r="S36" s="85">
        <f>SUBTOTAL(9,S3:S34)</f>
        <v>26664.434166666666</v>
      </c>
      <c r="T36" s="164">
        <f>SUBTOTAL(9,T3:T35)</f>
        <v>296474.31</v>
      </c>
      <c r="U36" s="78">
        <f>U35+U32+U23+U12+U7</f>
        <v>313750.76399999997</v>
      </c>
      <c r="V36" s="193">
        <f>X36-U36</f>
        <v>8891.2360000000335</v>
      </c>
      <c r="W36" s="86"/>
      <c r="X36" s="85">
        <f>SUBTOTAL(9,X3:X35)</f>
        <v>322642</v>
      </c>
      <c r="Y36" s="86"/>
      <c r="Z36" s="87">
        <f>SUBTOTAL(9,Z3:Z34)</f>
        <v>1.0116259628614586</v>
      </c>
      <c r="AA36" s="86"/>
      <c r="AB36" s="85">
        <f>SUBTOTAL(9,AB3:AB34)</f>
        <v>28603.136666666665</v>
      </c>
    </row>
    <row r="37" spans="1:28" s="4" customFormat="1" ht="18" x14ac:dyDescent="0.25">
      <c r="A37" s="6"/>
      <c r="B37" s="6"/>
      <c r="C37" s="65"/>
      <c r="D37" s="15"/>
      <c r="E37" s="3"/>
      <c r="F37" s="3"/>
      <c r="G37" s="15"/>
      <c r="H37" s="90"/>
      <c r="I37" s="91"/>
      <c r="J37" s="89"/>
      <c r="K37" s="91"/>
      <c r="L37" s="16"/>
      <c r="M37" s="3"/>
      <c r="N37" s="91"/>
      <c r="O37" s="104"/>
      <c r="P37" s="91"/>
      <c r="R37" s="91"/>
      <c r="S37" s="92"/>
      <c r="T37" s="166"/>
      <c r="U37" s="104"/>
      <c r="V37" s="3"/>
      <c r="W37" s="91"/>
      <c r="X37" s="104"/>
      <c r="Y37" s="91"/>
      <c r="AA37" s="91"/>
      <c r="AB37" s="92"/>
    </row>
    <row r="38" spans="1:28" s="4" customFormat="1" ht="18" x14ac:dyDescent="0.25">
      <c r="A38" s="16" t="s">
        <v>6</v>
      </c>
      <c r="B38" s="6"/>
      <c r="C38" s="65"/>
      <c r="D38" s="15"/>
      <c r="E38" s="92"/>
      <c r="F38" s="92"/>
      <c r="G38" s="15"/>
      <c r="H38" s="93"/>
      <c r="I38" s="91"/>
      <c r="J38" s="92"/>
      <c r="K38" s="91"/>
      <c r="L38" s="16"/>
      <c r="M38" s="94"/>
      <c r="N38" s="91"/>
      <c r="P38" s="91"/>
      <c r="Q38" s="92"/>
      <c r="R38" s="91"/>
      <c r="S38" s="92"/>
      <c r="T38" s="167"/>
      <c r="U38" s="93"/>
      <c r="V38" s="94"/>
      <c r="W38" s="91"/>
      <c r="Y38" s="91"/>
      <c r="Z38" s="92"/>
      <c r="AA38" s="91"/>
      <c r="AB38" s="92"/>
    </row>
    <row r="39" spans="1:28" s="4" customFormat="1" ht="15.75" outlineLevel="1" x14ac:dyDescent="0.25">
      <c r="A39" s="29"/>
      <c r="B39" s="5"/>
      <c r="C39" s="60" t="s">
        <v>7</v>
      </c>
      <c r="D39" s="6"/>
      <c r="E39" s="7"/>
      <c r="F39" s="7"/>
      <c r="G39" s="6"/>
      <c r="H39" s="7"/>
      <c r="I39" s="6"/>
      <c r="J39" s="17"/>
      <c r="K39" s="6"/>
      <c r="L39" s="6"/>
      <c r="M39" s="7"/>
      <c r="N39" s="6"/>
      <c r="O39" s="7"/>
      <c r="P39" s="6"/>
      <c r="Q39" s="17"/>
      <c r="R39" s="6"/>
      <c r="S39" s="7"/>
      <c r="T39" s="168"/>
      <c r="U39" s="7"/>
      <c r="V39" s="7"/>
      <c r="W39" s="6"/>
      <c r="X39" s="7"/>
      <c r="Y39" s="6"/>
      <c r="Z39" s="17"/>
      <c r="AA39" s="6"/>
      <c r="AB39" s="7"/>
    </row>
    <row r="40" spans="1:28" s="4" customFormat="1" ht="15.75" outlineLevel="2" x14ac:dyDescent="0.25">
      <c r="A40" s="30" t="s">
        <v>7</v>
      </c>
      <c r="C40" s="60" t="s">
        <v>97</v>
      </c>
      <c r="D40" s="6"/>
      <c r="E40" s="7">
        <v>211.33</v>
      </c>
      <c r="F40" s="7">
        <f>(E40/10)*12</f>
        <v>253.59600000000003</v>
      </c>
      <c r="G40" s="6"/>
      <c r="H40" s="8">
        <v>250</v>
      </c>
      <c r="I40" s="6"/>
      <c r="J40" s="9">
        <f>H40/$H$198</f>
        <v>7.0690615931012519E-4</v>
      </c>
      <c r="K40" s="6"/>
      <c r="L40" s="6"/>
      <c r="M40" s="126"/>
      <c r="N40" s="6"/>
      <c r="O40" s="8">
        <v>600</v>
      </c>
      <c r="P40" s="6"/>
      <c r="Q40" s="9">
        <f>O40/$O$198</f>
        <v>2.0237841180910415E-3</v>
      </c>
      <c r="R40" s="6"/>
      <c r="S40" s="7">
        <f>O40/12</f>
        <v>50</v>
      </c>
      <c r="T40" s="169">
        <v>600</v>
      </c>
      <c r="U40" s="7">
        <v>0</v>
      </c>
      <c r="V40" s="126"/>
      <c r="W40" s="6"/>
      <c r="X40" s="8">
        <v>600</v>
      </c>
      <c r="Y40" s="6"/>
      <c r="Z40" s="9">
        <f>X40/$X$198</f>
        <v>1.8596462952746387E-3</v>
      </c>
      <c r="AA40" s="6"/>
      <c r="AB40" s="7">
        <f>X40/12</f>
        <v>50</v>
      </c>
    </row>
    <row r="41" spans="1:28" s="4" customFormat="1" ht="15.75" outlineLevel="2" x14ac:dyDescent="0.25">
      <c r="A41" s="30" t="s">
        <v>7</v>
      </c>
      <c r="C41" s="60" t="s">
        <v>8</v>
      </c>
      <c r="D41" s="6"/>
      <c r="E41" s="7">
        <v>0</v>
      </c>
      <c r="F41" s="7">
        <f>(E41/10)*12</f>
        <v>0</v>
      </c>
      <c r="G41" s="6"/>
      <c r="H41" s="8">
        <v>10000</v>
      </c>
      <c r="I41" s="6"/>
      <c r="J41" s="9">
        <f>H41/$H$198</f>
        <v>2.8276246372405008E-2</v>
      </c>
      <c r="K41" s="6"/>
      <c r="L41" s="6"/>
      <c r="M41" s="7"/>
      <c r="N41" s="6"/>
      <c r="O41" s="8">
        <v>10000</v>
      </c>
      <c r="P41" s="6"/>
      <c r="Q41" s="9">
        <f>O41/$O$198</f>
        <v>3.3729735301517356E-2</v>
      </c>
      <c r="R41" s="6"/>
      <c r="S41" s="7">
        <f>O41/12</f>
        <v>833.33333333333337</v>
      </c>
      <c r="T41" s="169">
        <v>10000</v>
      </c>
      <c r="U41" s="7">
        <v>0</v>
      </c>
      <c r="V41" s="7"/>
      <c r="W41" s="6"/>
      <c r="X41" s="8">
        <v>12000</v>
      </c>
      <c r="Y41" s="6"/>
      <c r="Z41" s="9">
        <f>X41/$X$198</f>
        <v>3.7192925905492773E-2</v>
      </c>
      <c r="AA41" s="6"/>
      <c r="AB41" s="7">
        <f>X41/12</f>
        <v>1000</v>
      </c>
    </row>
    <row r="42" spans="1:28" s="4" customFormat="1" ht="15.75" outlineLevel="2" x14ac:dyDescent="0.25">
      <c r="A42" s="30" t="s">
        <v>7</v>
      </c>
      <c r="C42" s="60" t="s">
        <v>9</v>
      </c>
      <c r="D42" s="6"/>
      <c r="E42" s="7">
        <v>0</v>
      </c>
      <c r="F42" s="7">
        <f>(E42/10)*12</f>
        <v>0</v>
      </c>
      <c r="G42" s="6"/>
      <c r="H42" s="8">
        <v>100</v>
      </c>
      <c r="I42" s="6"/>
      <c r="J42" s="9">
        <f>H42/$H$198</f>
        <v>2.8276246372405009E-4</v>
      </c>
      <c r="K42" s="6"/>
      <c r="L42" s="6"/>
      <c r="M42" s="7"/>
      <c r="N42" s="6"/>
      <c r="O42" s="8">
        <v>100</v>
      </c>
      <c r="P42" s="6"/>
      <c r="Q42" s="9">
        <f>O42/$O$198</f>
        <v>3.3729735301517354E-4</v>
      </c>
      <c r="R42" s="6"/>
      <c r="S42" s="7">
        <f>O42/12</f>
        <v>8.3333333333333339</v>
      </c>
      <c r="T42" s="169">
        <v>100</v>
      </c>
      <c r="U42" s="7">
        <v>0</v>
      </c>
      <c r="V42" s="7"/>
      <c r="W42" s="6"/>
      <c r="X42" s="8">
        <v>100</v>
      </c>
      <c r="Y42" s="6"/>
      <c r="Z42" s="9">
        <f>X42/$X$198</f>
        <v>3.0994104921243978E-4</v>
      </c>
      <c r="AA42" s="6"/>
      <c r="AB42" s="7">
        <f>X42/12</f>
        <v>8.3333333333333339</v>
      </c>
    </row>
    <row r="43" spans="1:28" s="98" customFormat="1" ht="15.75" outlineLevel="2" x14ac:dyDescent="0.25">
      <c r="A43" s="107" t="s">
        <v>7</v>
      </c>
      <c r="C43" s="108" t="s">
        <v>166</v>
      </c>
      <c r="D43" s="97"/>
      <c r="E43" s="99">
        <v>3950</v>
      </c>
      <c r="F43" s="7">
        <f>(E43/10)*12</f>
        <v>4740</v>
      </c>
      <c r="G43" s="97"/>
      <c r="H43" s="109">
        <v>3400</v>
      </c>
      <c r="I43" s="97"/>
      <c r="J43" s="110">
        <f>H43/$H$198</f>
        <v>9.6139237666177033E-3</v>
      </c>
      <c r="K43" s="97"/>
      <c r="L43" s="97"/>
      <c r="M43" s="124" t="s">
        <v>156</v>
      </c>
      <c r="N43" s="97"/>
      <c r="O43" s="8">
        <f>1200*5</f>
        <v>6000</v>
      </c>
      <c r="P43" s="97"/>
      <c r="Q43" s="110">
        <f>O43/$O$198</f>
        <v>2.0237841180910415E-2</v>
      </c>
      <c r="R43" s="97"/>
      <c r="S43" s="99">
        <f>O43/12</f>
        <v>500</v>
      </c>
      <c r="T43" s="169">
        <f>1200*5</f>
        <v>6000</v>
      </c>
      <c r="U43" s="7">
        <f>(4725/10)*12</f>
        <v>5670</v>
      </c>
      <c r="V43" s="124" t="s">
        <v>319</v>
      </c>
      <c r="W43" s="97"/>
      <c r="X43" s="8">
        <f>1200*5</f>
        <v>6000</v>
      </c>
      <c r="Y43" s="97"/>
      <c r="Z43" s="110">
        <f>X43/$X$198</f>
        <v>1.8596462952746386E-2</v>
      </c>
      <c r="AA43" s="97"/>
      <c r="AB43" s="99">
        <f>X43/12</f>
        <v>500</v>
      </c>
    </row>
    <row r="44" spans="1:28" s="4" customFormat="1" ht="15.75" outlineLevel="1" x14ac:dyDescent="0.25">
      <c r="A44" s="21" t="s">
        <v>106</v>
      </c>
      <c r="B44" s="27"/>
      <c r="C44" s="63"/>
      <c r="D44" s="24"/>
      <c r="E44" s="35">
        <f>SUBTOTAL(9,E40:E43)</f>
        <v>4161.33</v>
      </c>
      <c r="F44" s="35">
        <f>SUBTOTAL(9,F40:F43)</f>
        <v>4993.5960000000005</v>
      </c>
      <c r="G44" s="24"/>
      <c r="H44" s="35">
        <f>SUBTOTAL(9,H40:H43)</f>
        <v>13750</v>
      </c>
      <c r="I44" s="24"/>
      <c r="J44" s="26">
        <f>SUBTOTAL(9,J40:J43)</f>
        <v>3.887983876205689E-2</v>
      </c>
      <c r="K44" s="24"/>
      <c r="L44" s="24"/>
      <c r="M44" s="25"/>
      <c r="N44" s="24"/>
      <c r="O44" s="35">
        <f>SUBTOTAL(9,O40:O43)</f>
        <v>16700</v>
      </c>
      <c r="P44" s="24"/>
      <c r="Q44" s="26">
        <f>SUBTOTAL(9,Q40:Q43)</f>
        <v>5.6328657953533992E-2</v>
      </c>
      <c r="R44" s="24"/>
      <c r="S44" s="25">
        <f>SUBTOTAL(9,S40:S43)</f>
        <v>1391.6666666666667</v>
      </c>
      <c r="T44" s="170">
        <f>SUBTOTAL(9,T40:T43)</f>
        <v>16700</v>
      </c>
      <c r="U44" s="35">
        <f>SUM(U40:U43)</f>
        <v>5670</v>
      </c>
      <c r="V44" s="25"/>
      <c r="W44" s="24"/>
      <c r="X44" s="35">
        <f>SUBTOTAL(9,X40:X43)</f>
        <v>18700</v>
      </c>
      <c r="Y44" s="24"/>
      <c r="Z44" s="26">
        <f>SUBTOTAL(9,Z40:Z43)</f>
        <v>5.7958976202726234E-2</v>
      </c>
      <c r="AA44" s="24"/>
      <c r="AB44" s="25">
        <f>SUBTOTAL(9,AB40:AB43)</f>
        <v>1558.3333333333333</v>
      </c>
    </row>
    <row r="45" spans="1:28" s="4" customFormat="1" outlineLevel="1" x14ac:dyDescent="0.2">
      <c r="A45" s="6"/>
      <c r="B45" s="6"/>
      <c r="C45" s="61"/>
      <c r="D45" s="6"/>
      <c r="E45" s="7"/>
      <c r="F45" s="7"/>
      <c r="G45" s="6"/>
      <c r="H45" s="7"/>
      <c r="I45" s="6"/>
      <c r="J45" s="14"/>
      <c r="K45" s="6"/>
      <c r="L45" s="6"/>
      <c r="M45" s="7"/>
      <c r="N45" s="6"/>
      <c r="O45" s="7"/>
      <c r="P45" s="6"/>
      <c r="Q45" s="14"/>
      <c r="R45" s="6"/>
      <c r="S45" s="7"/>
      <c r="T45" s="168"/>
      <c r="U45" s="7"/>
      <c r="V45" s="7"/>
      <c r="W45" s="6"/>
      <c r="X45" s="7"/>
      <c r="Y45" s="6"/>
      <c r="Z45" s="14"/>
      <c r="AA45" s="6"/>
      <c r="AB45" s="7"/>
    </row>
    <row r="46" spans="1:28" s="4" customFormat="1" ht="15.75" outlineLevel="2" x14ac:dyDescent="0.25">
      <c r="A46" s="30" t="s">
        <v>10</v>
      </c>
      <c r="C46" s="60"/>
      <c r="D46" s="6"/>
      <c r="E46" s="7"/>
      <c r="F46" s="7"/>
      <c r="G46" s="6"/>
      <c r="H46" s="8"/>
      <c r="I46" s="6"/>
      <c r="J46" s="14"/>
      <c r="K46" s="6"/>
      <c r="L46" s="6"/>
      <c r="M46" s="7"/>
      <c r="N46" s="6"/>
      <c r="O46" s="8"/>
      <c r="P46" s="6"/>
      <c r="Q46" s="14"/>
      <c r="R46" s="6"/>
      <c r="S46" s="7"/>
      <c r="T46" s="169"/>
      <c r="U46" s="8"/>
      <c r="V46" s="7"/>
      <c r="W46" s="6"/>
      <c r="X46" s="8"/>
      <c r="Y46" s="6"/>
      <c r="Z46" s="14"/>
      <c r="AA46" s="6"/>
      <c r="AB46" s="7"/>
    </row>
    <row r="47" spans="1:28" s="4" customFormat="1" ht="15.75" outlineLevel="2" x14ac:dyDescent="0.25">
      <c r="A47" s="30" t="s">
        <v>10</v>
      </c>
      <c r="B47" s="6"/>
      <c r="C47" s="61" t="s">
        <v>11</v>
      </c>
      <c r="D47" s="6"/>
      <c r="E47" s="7">
        <v>1215</v>
      </c>
      <c r="F47" s="7">
        <f>(E47/10)*12</f>
        <v>1458</v>
      </c>
      <c r="G47" s="6"/>
      <c r="H47" s="8">
        <v>700</v>
      </c>
      <c r="I47" s="6"/>
      <c r="J47" s="9">
        <f>H47/$H$198</f>
        <v>1.9793372460683504E-3</v>
      </c>
      <c r="K47" s="6"/>
      <c r="L47" s="6"/>
      <c r="M47" s="126"/>
      <c r="N47" s="6"/>
      <c r="O47" s="8">
        <v>850</v>
      </c>
      <c r="P47" s="6"/>
      <c r="Q47" s="9">
        <f>O47/$O$198</f>
        <v>2.8670275006289752E-3</v>
      </c>
      <c r="R47" s="6"/>
      <c r="S47" s="7">
        <f>O47/12</f>
        <v>70.833333333333329</v>
      </c>
      <c r="T47" s="169">
        <v>850</v>
      </c>
      <c r="U47" s="7">
        <f>(65/10)*12</f>
        <v>78</v>
      </c>
      <c r="V47" s="126"/>
      <c r="W47" s="6"/>
      <c r="X47" s="8">
        <v>425</v>
      </c>
      <c r="Y47" s="6"/>
      <c r="Z47" s="9">
        <f>X47/$X$198</f>
        <v>1.3172494591528691E-3</v>
      </c>
      <c r="AA47" s="6"/>
      <c r="AB47" s="7">
        <f>X47/12</f>
        <v>35.416666666666664</v>
      </c>
    </row>
    <row r="48" spans="1:28" s="4" customFormat="1" ht="15.75" outlineLevel="2" x14ac:dyDescent="0.25">
      <c r="A48" s="30" t="s">
        <v>10</v>
      </c>
      <c r="B48" s="6"/>
      <c r="C48" s="61" t="s">
        <v>48</v>
      </c>
      <c r="D48" s="6"/>
      <c r="E48" s="7">
        <v>0</v>
      </c>
      <c r="F48" s="7">
        <f>(E48/10)*12</f>
        <v>0</v>
      </c>
      <c r="G48" s="6"/>
      <c r="H48" s="8">
        <v>150</v>
      </c>
      <c r="I48" s="6"/>
      <c r="J48" s="9">
        <f>H48/$H$198</f>
        <v>4.2414369558607516E-4</v>
      </c>
      <c r="K48" s="6"/>
      <c r="L48" s="6"/>
      <c r="M48" s="7"/>
      <c r="N48" s="6"/>
      <c r="O48" s="8">
        <v>100</v>
      </c>
      <c r="P48" s="6"/>
      <c r="Q48" s="9">
        <f>O48/$O$198</f>
        <v>3.3729735301517354E-4</v>
      </c>
      <c r="R48" s="6"/>
      <c r="S48" s="7">
        <f>O48/12</f>
        <v>8.3333333333333339</v>
      </c>
      <c r="T48" s="169">
        <v>100</v>
      </c>
      <c r="U48" s="7">
        <v>0</v>
      </c>
      <c r="V48" s="7"/>
      <c r="W48" s="6"/>
      <c r="X48" s="8">
        <v>100</v>
      </c>
      <c r="Y48" s="6"/>
      <c r="Z48" s="9">
        <f>X48/$X$198</f>
        <v>3.0994104921243978E-4</v>
      </c>
      <c r="AA48" s="6"/>
      <c r="AB48" s="7">
        <f>X48/12</f>
        <v>8.3333333333333339</v>
      </c>
    </row>
    <row r="49" spans="1:28" s="4" customFormat="1" ht="15.75" outlineLevel="2" x14ac:dyDescent="0.25">
      <c r="A49" s="30" t="s">
        <v>10</v>
      </c>
      <c r="B49" s="6"/>
      <c r="C49" s="61" t="s">
        <v>49</v>
      </c>
      <c r="D49" s="6"/>
      <c r="E49" s="7">
        <v>2035.88</v>
      </c>
      <c r="F49" s="7">
        <f>(E49/10)*12</f>
        <v>2443.0560000000005</v>
      </c>
      <c r="G49" s="6"/>
      <c r="H49" s="8">
        <v>200</v>
      </c>
      <c r="I49" s="6"/>
      <c r="J49" s="9">
        <f>H49/$H$198</f>
        <v>5.6552492744810017E-4</v>
      </c>
      <c r="K49" s="6"/>
      <c r="L49" s="6"/>
      <c r="M49" s="7"/>
      <c r="N49" s="6"/>
      <c r="O49" s="8">
        <v>250</v>
      </c>
      <c r="P49" s="6"/>
      <c r="Q49" s="9">
        <f>O49/$O$198</f>
        <v>8.4324338253793387E-4</v>
      </c>
      <c r="R49" s="6"/>
      <c r="S49" s="7">
        <f>O49/12</f>
        <v>20.833333333333332</v>
      </c>
      <c r="T49" s="169">
        <v>250</v>
      </c>
      <c r="U49" s="7">
        <f>(572.1/10)*12</f>
        <v>686.52</v>
      </c>
      <c r="V49" s="7"/>
      <c r="W49" s="6"/>
      <c r="X49" s="8">
        <v>250</v>
      </c>
      <c r="Y49" s="6"/>
      <c r="Z49" s="9">
        <f>X49/$X$198</f>
        <v>7.748526230310995E-4</v>
      </c>
      <c r="AA49" s="6"/>
      <c r="AB49" s="7">
        <f>X49/12</f>
        <v>20.833333333333332</v>
      </c>
    </row>
    <row r="50" spans="1:28" s="4" customFormat="1" ht="15.75" outlineLevel="2" x14ac:dyDescent="0.25">
      <c r="A50" s="30" t="s">
        <v>10</v>
      </c>
      <c r="B50" s="6"/>
      <c r="C50" s="6" t="s">
        <v>50</v>
      </c>
      <c r="D50" s="6"/>
      <c r="E50" s="7">
        <v>656.6</v>
      </c>
      <c r="F50" s="7">
        <f>(E50/10)*12</f>
        <v>787.92</v>
      </c>
      <c r="G50" s="6"/>
      <c r="H50" s="8">
        <v>150</v>
      </c>
      <c r="I50" s="6"/>
      <c r="J50" s="9">
        <f>H50/$H$198</f>
        <v>4.2414369558607516E-4</v>
      </c>
      <c r="K50" s="6"/>
      <c r="L50" s="6"/>
      <c r="M50" s="7"/>
      <c r="N50" s="6"/>
      <c r="O50" s="8">
        <v>700</v>
      </c>
      <c r="P50" s="6"/>
      <c r="Q50" s="9">
        <f>O50/$O$198</f>
        <v>2.3610814711062149E-3</v>
      </c>
      <c r="R50" s="6"/>
      <c r="S50" s="7">
        <f>O50/12</f>
        <v>58.333333333333336</v>
      </c>
      <c r="T50" s="169">
        <v>700</v>
      </c>
      <c r="U50" s="7">
        <f>(741.46/10)*12</f>
        <v>889.75199999999995</v>
      </c>
      <c r="V50" s="7"/>
      <c r="W50" s="6"/>
      <c r="X50" s="8">
        <v>350</v>
      </c>
      <c r="Y50" s="6"/>
      <c r="Z50" s="9">
        <f>X50/$X$198</f>
        <v>1.0847936722435392E-3</v>
      </c>
      <c r="AA50" s="6"/>
      <c r="AB50" s="7">
        <f>X50/12</f>
        <v>29.166666666666668</v>
      </c>
    </row>
    <row r="51" spans="1:28" s="4" customFormat="1" ht="15.75" outlineLevel="1" x14ac:dyDescent="0.25">
      <c r="A51" s="21" t="s">
        <v>107</v>
      </c>
      <c r="B51" s="24"/>
      <c r="C51" s="62"/>
      <c r="D51" s="24"/>
      <c r="E51" s="35">
        <f>SUBTOTAL(9,E47:E50)</f>
        <v>3907.48</v>
      </c>
      <c r="F51" s="35">
        <f>SUBTOTAL(9,F50:F50)</f>
        <v>787.92</v>
      </c>
      <c r="G51" s="24"/>
      <c r="H51" s="35">
        <f>SUBTOTAL(9,H50:H50)</f>
        <v>150</v>
      </c>
      <c r="I51" s="24"/>
      <c r="J51" s="26">
        <f>SUBTOTAL(9,J46:J50)</f>
        <v>3.3931495646886013E-3</v>
      </c>
      <c r="K51" s="24"/>
      <c r="L51" s="24"/>
      <c r="M51" s="25">
        <f>SUBTOTAL(9,M46:M50)</f>
        <v>0</v>
      </c>
      <c r="N51" s="24"/>
      <c r="O51" s="35">
        <f>SUBTOTAL(9,O46:O50)</f>
        <v>1900</v>
      </c>
      <c r="P51" s="24"/>
      <c r="Q51" s="26">
        <f>SUBTOTAL(9,Q46:Q50)</f>
        <v>6.4086497072882971E-3</v>
      </c>
      <c r="R51" s="24"/>
      <c r="S51" s="25">
        <f>SUBTOTAL(9,S46:S50)</f>
        <v>158.33333333333331</v>
      </c>
      <c r="T51" s="170">
        <f>SUBTOTAL(9,T46:T50)</f>
        <v>1900</v>
      </c>
      <c r="U51" s="35">
        <f>SUM(U47:U50)</f>
        <v>1654.2719999999999</v>
      </c>
      <c r="V51" s="25">
        <f>SUBTOTAL(9,V46:V50)</f>
        <v>0</v>
      </c>
      <c r="W51" s="24"/>
      <c r="X51" s="35">
        <f>SUBTOTAL(9,X46:X50)</f>
        <v>1125</v>
      </c>
      <c r="Y51" s="24"/>
      <c r="Z51" s="26">
        <f>SUBTOTAL(9,Z46:Z50)</f>
        <v>3.4868368036399472E-3</v>
      </c>
      <c r="AA51" s="24"/>
      <c r="AB51" s="25">
        <f>SUBTOTAL(9,AB46:AB50)</f>
        <v>93.75</v>
      </c>
    </row>
    <row r="52" spans="1:28" s="4" customFormat="1" ht="15.75" outlineLevel="1" x14ac:dyDescent="0.25">
      <c r="A52" s="6"/>
      <c r="B52" s="5"/>
      <c r="C52" s="60"/>
      <c r="D52" s="6"/>
      <c r="E52" s="7"/>
      <c r="F52" s="7"/>
      <c r="G52" s="6"/>
      <c r="H52" s="8"/>
      <c r="I52" s="6"/>
      <c r="J52" s="9"/>
      <c r="K52" s="6"/>
      <c r="L52" s="6"/>
      <c r="M52" s="7"/>
      <c r="N52" s="6"/>
      <c r="O52" s="8"/>
      <c r="P52" s="6"/>
      <c r="Q52" s="9"/>
      <c r="R52" s="6"/>
      <c r="S52" s="7"/>
      <c r="T52" s="169"/>
      <c r="U52" s="8"/>
      <c r="V52" s="7"/>
      <c r="W52" s="6"/>
      <c r="X52" s="8"/>
      <c r="Y52" s="6"/>
      <c r="Z52" s="9"/>
      <c r="AA52" s="6"/>
      <c r="AB52" s="7"/>
    </row>
    <row r="53" spans="1:28" s="4" customFormat="1" ht="15.75" outlineLevel="1" x14ac:dyDescent="0.25">
      <c r="A53" s="6"/>
      <c r="B53" s="5"/>
      <c r="C53" s="7" t="s">
        <v>183</v>
      </c>
      <c r="D53" s="6"/>
      <c r="E53" s="7"/>
      <c r="F53" s="7"/>
      <c r="G53" s="6"/>
      <c r="H53" s="7"/>
      <c r="I53" s="6"/>
      <c r="J53" s="14"/>
      <c r="K53" s="6"/>
      <c r="L53" s="6"/>
      <c r="M53" s="7"/>
      <c r="N53" s="6"/>
      <c r="O53" s="7"/>
      <c r="P53" s="6"/>
      <c r="Q53" s="14"/>
      <c r="R53" s="6"/>
      <c r="S53" s="7">
        <f>O53/12</f>
        <v>0</v>
      </c>
      <c r="T53" s="168"/>
      <c r="U53" s="7"/>
      <c r="V53" s="7"/>
      <c r="W53" s="6"/>
      <c r="X53" s="7"/>
      <c r="Y53" s="6"/>
      <c r="Z53" s="14"/>
      <c r="AA53" s="6"/>
      <c r="AB53" s="7">
        <f>X53/12</f>
        <v>0</v>
      </c>
    </row>
    <row r="54" spans="1:28" s="98" customFormat="1" ht="30" outlineLevel="2" x14ac:dyDescent="0.2">
      <c r="A54" s="107" t="s">
        <v>51</v>
      </c>
      <c r="C54" s="108" t="s">
        <v>51</v>
      </c>
      <c r="D54" s="97"/>
      <c r="E54" s="99">
        <v>1127</v>
      </c>
      <c r="F54" s="7">
        <f>(E54/10)*12</f>
        <v>1352.4</v>
      </c>
      <c r="G54" s="97"/>
      <c r="H54" s="109">
        <v>650</v>
      </c>
      <c r="I54" s="97"/>
      <c r="J54" s="110">
        <f>H54/$H$198</f>
        <v>1.8379560142063255E-3</v>
      </c>
      <c r="K54" s="97"/>
      <c r="L54" s="97"/>
      <c r="M54" s="111" t="s">
        <v>157</v>
      </c>
      <c r="N54" s="97"/>
      <c r="O54" s="109">
        <v>0</v>
      </c>
      <c r="P54" s="97"/>
      <c r="Q54" s="110">
        <f>O54/$O$198</f>
        <v>0</v>
      </c>
      <c r="R54" s="97"/>
      <c r="S54" s="99">
        <f>O54/12</f>
        <v>0</v>
      </c>
      <c r="T54" s="171">
        <v>0</v>
      </c>
      <c r="U54" s="109">
        <v>0</v>
      </c>
      <c r="V54" s="111" t="s">
        <v>314</v>
      </c>
      <c r="W54" s="97"/>
      <c r="X54" s="109">
        <v>1500</v>
      </c>
      <c r="Y54" s="97"/>
      <c r="Z54" s="110">
        <f>X54/$X$198</f>
        <v>4.6491157381865966E-3</v>
      </c>
      <c r="AA54" s="97"/>
      <c r="AB54" s="99">
        <f>X54/12</f>
        <v>125</v>
      </c>
    </row>
    <row r="55" spans="1:28" s="4" customFormat="1" ht="15.75" outlineLevel="1" x14ac:dyDescent="0.25">
      <c r="A55" s="21" t="s">
        <v>315</v>
      </c>
      <c r="B55" s="27"/>
      <c r="C55" s="63"/>
      <c r="D55" s="24"/>
      <c r="E55" s="35">
        <f>SUBTOTAL(9,E54:E54)</f>
        <v>1127</v>
      </c>
      <c r="F55" s="35">
        <f>SUBTOTAL(9,F54:F54)</f>
        <v>1352.4</v>
      </c>
      <c r="G55" s="24"/>
      <c r="H55" s="35">
        <f>SUBTOTAL(9,H54:H54)</f>
        <v>650</v>
      </c>
      <c r="I55" s="24"/>
      <c r="J55" s="26">
        <f>SUBTOTAL(9,J54:J54)</f>
        <v>1.8379560142063255E-3</v>
      </c>
      <c r="K55" s="24"/>
      <c r="L55" s="24"/>
      <c r="M55" s="25">
        <f>SUBTOTAL(9,M54:M54)</f>
        <v>0</v>
      </c>
      <c r="N55" s="24"/>
      <c r="O55" s="35">
        <f>SUBTOTAL(9,O54:O54)</f>
        <v>0</v>
      </c>
      <c r="P55" s="24"/>
      <c r="Q55" s="26">
        <f>SUBTOTAL(9,Q54:Q54)</f>
        <v>0</v>
      </c>
      <c r="R55" s="24"/>
      <c r="S55" s="25">
        <f>SUBTOTAL(9,S54:S54)</f>
        <v>0</v>
      </c>
      <c r="T55" s="170">
        <f>SUBTOTAL(9,T54:T54)</f>
        <v>0</v>
      </c>
      <c r="U55" s="35">
        <f>SUM(U54)</f>
        <v>0</v>
      </c>
      <c r="V55" s="25">
        <f>SUBTOTAL(9,V54:V54)</f>
        <v>0</v>
      </c>
      <c r="W55" s="24"/>
      <c r="X55" s="35">
        <f>SUBTOTAL(9,X54:X54)</f>
        <v>1500</v>
      </c>
      <c r="Y55" s="24"/>
      <c r="Z55" s="26">
        <f>SUBTOTAL(9,Z54:Z54)</f>
        <v>4.6491157381865966E-3</v>
      </c>
      <c r="AA55" s="24"/>
      <c r="AB55" s="25">
        <f>SUBTOTAL(9,AB54:AB54)</f>
        <v>125</v>
      </c>
    </row>
    <row r="56" spans="1:28" s="4" customFormat="1" ht="15.75" outlineLevel="1" x14ac:dyDescent="0.25">
      <c r="A56" s="6"/>
      <c r="B56" s="5"/>
      <c r="C56" s="60"/>
      <c r="D56" s="6"/>
      <c r="E56" s="7"/>
      <c r="F56" s="7"/>
      <c r="G56" s="6"/>
      <c r="H56" s="7"/>
      <c r="I56" s="6"/>
      <c r="J56" s="14"/>
      <c r="K56" s="6"/>
      <c r="L56" s="6"/>
      <c r="M56" s="7"/>
      <c r="N56" s="6"/>
      <c r="O56" s="7"/>
      <c r="P56" s="6"/>
      <c r="Q56" s="14"/>
      <c r="R56" s="6"/>
      <c r="S56" s="7">
        <f>O56/12</f>
        <v>0</v>
      </c>
      <c r="T56" s="168"/>
      <c r="U56" s="7"/>
      <c r="V56" s="7"/>
      <c r="W56" s="6"/>
      <c r="X56" s="7"/>
      <c r="Y56" s="6"/>
      <c r="Z56" s="14"/>
      <c r="AA56" s="6"/>
      <c r="AB56" s="7">
        <f>X56/12</f>
        <v>0</v>
      </c>
    </row>
    <row r="57" spans="1:28" s="4" customFormat="1" ht="15.75" outlineLevel="2" x14ac:dyDescent="0.25">
      <c r="A57" s="30" t="s">
        <v>12</v>
      </c>
      <c r="C57" s="60" t="s">
        <v>12</v>
      </c>
      <c r="D57" s="6"/>
      <c r="E57" s="7">
        <v>201.92</v>
      </c>
      <c r="F57" s="7">
        <f>(E57/10)*12</f>
        <v>242.304</v>
      </c>
      <c r="G57" s="6"/>
      <c r="H57" s="8">
        <v>200</v>
      </c>
      <c r="I57" s="6"/>
      <c r="J57" s="9">
        <f>H57/$H$198</f>
        <v>5.6552492744810017E-4</v>
      </c>
      <c r="K57" s="6"/>
      <c r="L57" s="6"/>
      <c r="M57" s="7"/>
      <c r="N57" s="6"/>
      <c r="O57" s="8">
        <v>350</v>
      </c>
      <c r="P57" s="6"/>
      <c r="Q57" s="9">
        <f>O57/$O$198</f>
        <v>1.1805407355531075E-3</v>
      </c>
      <c r="R57" s="6"/>
      <c r="S57" s="7">
        <f>O57/12</f>
        <v>29.166666666666668</v>
      </c>
      <c r="T57" s="169">
        <v>350</v>
      </c>
      <c r="U57" s="7">
        <f>(109.08/10)*12</f>
        <v>130.89599999999999</v>
      </c>
      <c r="V57" s="7"/>
      <c r="W57" s="6"/>
      <c r="X57" s="8">
        <v>250</v>
      </c>
      <c r="Y57" s="6"/>
      <c r="Z57" s="9">
        <f>X57/$X$198</f>
        <v>7.748526230310995E-4</v>
      </c>
      <c r="AA57" s="6"/>
      <c r="AB57" s="7">
        <f>X57/12</f>
        <v>20.833333333333332</v>
      </c>
    </row>
    <row r="58" spans="1:28" s="4" customFormat="1" ht="15.75" outlineLevel="1" x14ac:dyDescent="0.25">
      <c r="A58" s="21" t="s">
        <v>213</v>
      </c>
      <c r="B58" s="27"/>
      <c r="C58" s="63"/>
      <c r="D58" s="24"/>
      <c r="E58" s="35">
        <f>SUBTOTAL(9,E57:E57)</f>
        <v>201.92</v>
      </c>
      <c r="F58" s="35">
        <f>SUBTOTAL(9,F57:F57)</f>
        <v>242.304</v>
      </c>
      <c r="G58" s="24"/>
      <c r="H58" s="35">
        <f>SUBTOTAL(9,H57:H57)</f>
        <v>200</v>
      </c>
      <c r="I58" s="24"/>
      <c r="J58" s="26">
        <f>SUBTOTAL(9,J57:J57)</f>
        <v>5.6552492744810017E-4</v>
      </c>
      <c r="K58" s="24"/>
      <c r="L58" s="24"/>
      <c r="M58" s="25">
        <f>SUBTOTAL(9,M57:M57)</f>
        <v>0</v>
      </c>
      <c r="N58" s="24"/>
      <c r="O58" s="35">
        <f>SUBTOTAL(9,O57:O57)</f>
        <v>350</v>
      </c>
      <c r="P58" s="24"/>
      <c r="Q58" s="26">
        <f>SUBTOTAL(9,Q57:Q57)</f>
        <v>1.1805407355531075E-3</v>
      </c>
      <c r="R58" s="24"/>
      <c r="S58" s="25">
        <f>SUBTOTAL(9,S57:S57)</f>
        <v>29.166666666666668</v>
      </c>
      <c r="T58" s="170">
        <f>SUBTOTAL(9,T57:T57)</f>
        <v>350</v>
      </c>
      <c r="U58" s="35">
        <f>SUM(U57)</f>
        <v>130.89599999999999</v>
      </c>
      <c r="V58" s="25">
        <f>SUBTOTAL(9,V57:V57)</f>
        <v>0</v>
      </c>
      <c r="W58" s="24"/>
      <c r="X58" s="35">
        <f>SUBTOTAL(9,X57:X57)</f>
        <v>250</v>
      </c>
      <c r="Y58" s="24"/>
      <c r="Z58" s="26">
        <f>SUBTOTAL(9,Z57:Z57)</f>
        <v>7.748526230310995E-4</v>
      </c>
      <c r="AA58" s="24"/>
      <c r="AB58" s="25">
        <f>SUBTOTAL(9,AB57:AB57)</f>
        <v>20.833333333333332</v>
      </c>
    </row>
    <row r="59" spans="1:28" s="4" customFormat="1" ht="15.75" outlineLevel="2" x14ac:dyDescent="0.25">
      <c r="A59" s="30" t="s">
        <v>13</v>
      </c>
      <c r="C59" s="60" t="s">
        <v>13</v>
      </c>
      <c r="D59" s="6"/>
      <c r="E59" s="7">
        <v>1575</v>
      </c>
      <c r="F59" s="7">
        <f>(E59/10)*12</f>
        <v>1890</v>
      </c>
      <c r="G59" s="6"/>
      <c r="H59" s="8">
        <v>0</v>
      </c>
      <c r="I59" s="6"/>
      <c r="J59" s="9">
        <f>H59/$H$198</f>
        <v>0</v>
      </c>
      <c r="K59" s="6"/>
      <c r="L59" s="6"/>
      <c r="M59" s="7"/>
      <c r="N59" s="6"/>
      <c r="O59" s="8">
        <v>0</v>
      </c>
      <c r="P59" s="6"/>
      <c r="Q59" s="9">
        <f>O59/$O$198</f>
        <v>0</v>
      </c>
      <c r="R59" s="6"/>
      <c r="S59" s="7">
        <f>O59/12</f>
        <v>0</v>
      </c>
      <c r="T59" s="169">
        <v>0</v>
      </c>
      <c r="U59" s="7">
        <f>(540.1/10)*12</f>
        <v>648.12000000000012</v>
      </c>
      <c r="V59" s="7"/>
      <c r="W59" s="6"/>
      <c r="X59" s="8">
        <v>0</v>
      </c>
      <c r="Y59" s="6"/>
      <c r="Z59" s="9">
        <f>X59/$X$198</f>
        <v>0</v>
      </c>
      <c r="AA59" s="6"/>
      <c r="AB59" s="7">
        <f>X59/12</f>
        <v>0</v>
      </c>
    </row>
    <row r="60" spans="1:28" s="98" customFormat="1" ht="15.75" outlineLevel="2" x14ac:dyDescent="0.25">
      <c r="A60" s="107"/>
      <c r="B60" s="112"/>
      <c r="C60" s="239" t="s">
        <v>145</v>
      </c>
      <c r="D60" s="114"/>
      <c r="E60" s="115"/>
      <c r="F60" s="115"/>
      <c r="G60" s="114"/>
      <c r="H60" s="116"/>
      <c r="I60" s="114"/>
      <c r="J60" s="117"/>
      <c r="K60" s="114"/>
      <c r="L60" s="114"/>
      <c r="M60" s="145">
        <v>15000</v>
      </c>
      <c r="N60" s="114"/>
      <c r="O60" s="109">
        <v>13517.67</v>
      </c>
      <c r="P60" s="114"/>
      <c r="Q60" s="110">
        <f>O60/$O$198</f>
        <v>4.5594743099326214E-2</v>
      </c>
      <c r="R60" s="114"/>
      <c r="S60" s="99">
        <f>O60/12</f>
        <v>1126.4725000000001</v>
      </c>
      <c r="T60" s="171">
        <f>15000-1482.33</f>
        <v>13517.67</v>
      </c>
      <c r="U60" s="98">
        <v>0</v>
      </c>
      <c r="V60" s="145"/>
      <c r="W60" s="114"/>
      <c r="X60" s="8">
        <v>1500</v>
      </c>
      <c r="Y60" s="114"/>
      <c r="Z60" s="110">
        <f>X60/$X$198</f>
        <v>4.6491157381865966E-3</v>
      </c>
      <c r="AA60" s="114"/>
      <c r="AB60" s="99">
        <f>X60/12</f>
        <v>125</v>
      </c>
    </row>
    <row r="61" spans="1:28" s="98" customFormat="1" ht="15.75" hidden="1" outlineLevel="2" x14ac:dyDescent="0.25">
      <c r="A61" s="107"/>
      <c r="B61" s="112"/>
      <c r="C61" s="113"/>
      <c r="D61" s="114"/>
      <c r="E61" s="115"/>
      <c r="F61" s="115"/>
      <c r="G61" s="114"/>
      <c r="H61" s="116"/>
      <c r="I61" s="114"/>
      <c r="J61" s="117"/>
      <c r="K61" s="114"/>
      <c r="L61" s="114"/>
      <c r="M61" s="145"/>
      <c r="N61" s="114"/>
      <c r="O61" s="109"/>
      <c r="P61" s="114"/>
      <c r="Q61" s="110"/>
      <c r="R61" s="114"/>
      <c r="S61" s="99"/>
      <c r="T61" s="171">
        <v>260</v>
      </c>
      <c r="U61" s="109">
        <v>0</v>
      </c>
      <c r="V61" s="145"/>
      <c r="W61" s="114"/>
      <c r="X61" s="109"/>
      <c r="Y61" s="114"/>
      <c r="Z61" s="110"/>
      <c r="AA61" s="114"/>
      <c r="AB61" s="99"/>
    </row>
    <row r="62" spans="1:28" s="98" customFormat="1" ht="30" outlineLevel="2" x14ac:dyDescent="0.25">
      <c r="A62" s="107"/>
      <c r="B62" s="112"/>
      <c r="C62" s="239" t="s">
        <v>181</v>
      </c>
      <c r="D62" s="114"/>
      <c r="E62" s="115"/>
      <c r="F62" s="115"/>
      <c r="G62" s="114"/>
      <c r="H62" s="116"/>
      <c r="I62" s="114"/>
      <c r="J62" s="117"/>
      <c r="K62" s="114"/>
      <c r="L62" s="114"/>
      <c r="M62" s="145">
        <v>300</v>
      </c>
      <c r="N62" s="114"/>
      <c r="O62" s="109">
        <v>260</v>
      </c>
      <c r="P62" s="114"/>
      <c r="Q62" s="110">
        <f>O62/$O$198</f>
        <v>8.7697311783945127E-4</v>
      </c>
      <c r="R62" s="114"/>
      <c r="S62" s="99">
        <f>O62/12</f>
        <v>21.666666666666668</v>
      </c>
      <c r="T62" s="169"/>
      <c r="U62" s="8">
        <v>0</v>
      </c>
      <c r="V62" s="145"/>
      <c r="W62" s="114"/>
      <c r="X62" s="109">
        <v>260</v>
      </c>
      <c r="Y62" s="114"/>
      <c r="Z62" s="110">
        <f>X62/$X$198</f>
        <v>8.0584672795234351E-4</v>
      </c>
      <c r="AA62" s="114"/>
      <c r="AB62" s="99">
        <f>X62/12</f>
        <v>21.666666666666668</v>
      </c>
    </row>
    <row r="63" spans="1:28" s="4" customFormat="1" ht="15.75" hidden="1" outlineLevel="2" x14ac:dyDescent="0.25">
      <c r="A63" s="30"/>
      <c r="B63" s="5"/>
      <c r="C63" s="61" t="s">
        <v>212</v>
      </c>
      <c r="D63" s="6"/>
      <c r="E63" s="7">
        <v>0</v>
      </c>
      <c r="F63" s="7"/>
      <c r="G63" s="6"/>
      <c r="H63" s="8"/>
      <c r="I63" s="6"/>
      <c r="J63" s="14"/>
      <c r="K63" s="6"/>
      <c r="L63" s="6"/>
      <c r="M63" s="7"/>
      <c r="N63" s="6"/>
      <c r="O63" s="8"/>
      <c r="P63" s="6"/>
      <c r="Q63" s="9">
        <f>O63/$O$198</f>
        <v>0</v>
      </c>
      <c r="R63" s="6"/>
      <c r="S63" s="7"/>
      <c r="T63" s="169"/>
      <c r="U63" s="8">
        <v>15000</v>
      </c>
      <c r="V63" s="7"/>
      <c r="W63" s="6"/>
      <c r="X63" s="8">
        <v>0</v>
      </c>
      <c r="Y63" s="6"/>
      <c r="Z63" s="9">
        <f>X63/$X$198</f>
        <v>0</v>
      </c>
      <c r="AA63" s="6"/>
      <c r="AB63" s="7"/>
    </row>
    <row r="64" spans="1:28" s="4" customFormat="1" ht="15.75" outlineLevel="2" x14ac:dyDescent="0.25">
      <c r="A64" s="30" t="s">
        <v>13</v>
      </c>
      <c r="B64" s="5"/>
      <c r="C64" s="61" t="s">
        <v>320</v>
      </c>
      <c r="D64" s="6"/>
      <c r="E64" s="7">
        <v>0</v>
      </c>
      <c r="F64" s="7"/>
      <c r="G64" s="6"/>
      <c r="H64" s="8">
        <v>15000</v>
      </c>
      <c r="I64" s="6"/>
      <c r="J64" s="9">
        <f>H64/$H$198</f>
        <v>4.2414369558607515E-2</v>
      </c>
      <c r="K64" s="6"/>
      <c r="L64" s="6"/>
      <c r="M64" s="7"/>
      <c r="N64" s="6"/>
      <c r="O64" s="8"/>
      <c r="P64" s="6"/>
      <c r="Q64" s="9">
        <f>O64/$O$198</f>
        <v>0</v>
      </c>
      <c r="R64" s="6"/>
      <c r="S64" s="7">
        <f>O64/12</f>
        <v>0</v>
      </c>
      <c r="T64" s="172"/>
      <c r="U64" s="99">
        <f>(540/8)*12</f>
        <v>810</v>
      </c>
      <c r="V64" s="7"/>
      <c r="W64" s="6"/>
      <c r="X64" s="8">
        <v>10000</v>
      </c>
      <c r="Y64" s="6"/>
      <c r="Z64" s="9">
        <f>X64/$X$198</f>
        <v>3.0994104921243978E-2</v>
      </c>
      <c r="AA64" s="6"/>
      <c r="AB64" s="7">
        <f>X64/12</f>
        <v>833.33333333333337</v>
      </c>
    </row>
    <row r="65" spans="1:28" s="4" customFormat="1" ht="15.75" outlineLevel="1" x14ac:dyDescent="0.25">
      <c r="A65" s="21" t="s">
        <v>108</v>
      </c>
      <c r="B65" s="23"/>
      <c r="C65" s="62"/>
      <c r="D65" s="24"/>
      <c r="E65" s="35">
        <f>SUBTOTAL(9,E59:E64)</f>
        <v>1575</v>
      </c>
      <c r="F65" s="35">
        <f>SUBTOTAL(9,F59:F64)</f>
        <v>1890</v>
      </c>
      <c r="G65" s="24"/>
      <c r="H65" s="35">
        <f>SUBTOTAL(9,H59:H64)</f>
        <v>15000</v>
      </c>
      <c r="I65" s="24"/>
      <c r="J65" s="26">
        <f>SUBTOTAL(9,J59:J64)</f>
        <v>4.2414369558607515E-2</v>
      </c>
      <c r="K65" s="24"/>
      <c r="L65" s="24"/>
      <c r="M65" s="25">
        <f>SUBTOTAL(9,M59:M64)</f>
        <v>15300</v>
      </c>
      <c r="N65" s="24"/>
      <c r="O65" s="35">
        <f>SUBTOTAL(9,O59:O64)</f>
        <v>13777.67</v>
      </c>
      <c r="P65" s="24"/>
      <c r="Q65" s="26">
        <f>SUBTOTAL(9,Q59:Q64)</f>
        <v>4.6471716217165664E-2</v>
      </c>
      <c r="R65" s="24"/>
      <c r="S65" s="25">
        <f>SUBTOTAL(9,S59:S64)</f>
        <v>1148.1391666666668</v>
      </c>
      <c r="T65" s="170">
        <f>SUBTOTAL(9,T59:T64)</f>
        <v>13777.67</v>
      </c>
      <c r="U65" s="35">
        <f>SUM(U60:U64)</f>
        <v>15810</v>
      </c>
      <c r="V65" s="25">
        <f>SUBTOTAL(9,V59:V64)</f>
        <v>0</v>
      </c>
      <c r="W65" s="24"/>
      <c r="X65" s="35">
        <f>SUBTOTAL(9,X59:X64)</f>
        <v>11760</v>
      </c>
      <c r="Y65" s="24"/>
      <c r="Z65" s="26">
        <f>SUBTOTAL(9,Z59:Z64)</f>
        <v>3.6449067387382919E-2</v>
      </c>
      <c r="AA65" s="24"/>
      <c r="AB65" s="25">
        <f>SUBTOTAL(9,AB59:AB64)</f>
        <v>980</v>
      </c>
    </row>
    <row r="66" spans="1:28" s="4" customFormat="1" ht="15.75" outlineLevel="1" x14ac:dyDescent="0.25">
      <c r="A66" s="6"/>
      <c r="B66" s="5"/>
      <c r="C66" s="61"/>
      <c r="D66" s="6"/>
      <c r="E66" s="7"/>
      <c r="F66" s="7"/>
      <c r="G66" s="6"/>
      <c r="H66" s="8"/>
      <c r="I66" s="6"/>
      <c r="J66" s="9"/>
      <c r="K66" s="6"/>
      <c r="L66" s="6"/>
      <c r="M66" s="7"/>
      <c r="N66" s="6"/>
      <c r="O66" s="8"/>
      <c r="P66" s="6"/>
      <c r="Q66" s="9"/>
      <c r="R66" s="6"/>
      <c r="S66" s="7"/>
      <c r="T66" s="168"/>
      <c r="U66" s="7"/>
      <c r="V66" s="7"/>
      <c r="W66" s="6"/>
      <c r="X66" s="8"/>
      <c r="Y66" s="6"/>
      <c r="Z66" s="9"/>
      <c r="AA66" s="6"/>
      <c r="AB66" s="7"/>
    </row>
    <row r="67" spans="1:28" s="4" customFormat="1" ht="15.75" outlineLevel="1" x14ac:dyDescent="0.25">
      <c r="A67" s="6"/>
      <c r="B67" s="6"/>
      <c r="C67" s="61"/>
      <c r="D67" s="6"/>
      <c r="E67" s="7"/>
      <c r="F67" s="7"/>
      <c r="G67" s="6"/>
      <c r="H67" s="7"/>
      <c r="I67" s="6"/>
      <c r="J67" s="14"/>
      <c r="K67" s="6"/>
      <c r="L67" s="6"/>
      <c r="M67" s="7"/>
      <c r="N67" s="6"/>
      <c r="O67" s="7"/>
      <c r="P67" s="6"/>
      <c r="Q67" s="14"/>
      <c r="R67" s="6"/>
      <c r="S67" s="7">
        <f t="shared" ref="S67:S74" si="14">O67/12</f>
        <v>0</v>
      </c>
      <c r="T67" s="169"/>
      <c r="U67" s="8"/>
      <c r="V67" s="7"/>
      <c r="W67" s="6"/>
      <c r="X67" s="7"/>
      <c r="Y67" s="6"/>
      <c r="Z67" s="14"/>
      <c r="AA67" s="6"/>
      <c r="AB67" s="7">
        <f t="shared" ref="AB67:AB71" si="15">X67/12</f>
        <v>0</v>
      </c>
    </row>
    <row r="68" spans="1:28" s="4" customFormat="1" ht="15.75" outlineLevel="2" x14ac:dyDescent="0.25">
      <c r="A68" s="30" t="s">
        <v>14</v>
      </c>
      <c r="C68" s="60" t="s">
        <v>14</v>
      </c>
      <c r="D68" s="6"/>
      <c r="E68" s="7"/>
      <c r="F68" s="7"/>
      <c r="G68" s="6"/>
      <c r="H68" s="8"/>
      <c r="I68" s="6"/>
      <c r="J68" s="14"/>
      <c r="K68" s="6"/>
      <c r="L68" s="6"/>
      <c r="M68" s="7"/>
      <c r="N68" s="6"/>
      <c r="O68" s="8"/>
      <c r="P68" s="6"/>
      <c r="Q68" s="14"/>
      <c r="R68" s="6"/>
      <c r="S68" s="7">
        <f t="shared" si="14"/>
        <v>0</v>
      </c>
      <c r="T68" s="172"/>
      <c r="V68" s="7"/>
      <c r="W68" s="6"/>
      <c r="X68" s="8"/>
      <c r="Y68" s="6"/>
      <c r="Z68" s="14"/>
      <c r="AA68" s="6"/>
      <c r="AB68" s="7">
        <f t="shared" si="15"/>
        <v>0</v>
      </c>
    </row>
    <row r="69" spans="1:28" s="4" customFormat="1" ht="15.75" outlineLevel="2" x14ac:dyDescent="0.25">
      <c r="A69" s="30" t="s">
        <v>14</v>
      </c>
      <c r="B69" s="6"/>
      <c r="C69" s="61" t="s">
        <v>15</v>
      </c>
      <c r="D69" s="6"/>
      <c r="E69" s="7">
        <v>456.09</v>
      </c>
      <c r="F69" s="7">
        <f t="shared" ref="F69:F77" si="16">(E69/10)*12</f>
        <v>547.30799999999999</v>
      </c>
      <c r="G69" s="6"/>
      <c r="H69" s="8">
        <v>1000</v>
      </c>
      <c r="I69" s="6"/>
      <c r="J69" s="9">
        <f>H69/$H$198</f>
        <v>2.8276246372405008E-3</v>
      </c>
      <c r="K69" s="6"/>
      <c r="L69" s="6"/>
      <c r="M69" s="7"/>
      <c r="N69" s="6"/>
      <c r="O69" s="8">
        <v>1000</v>
      </c>
      <c r="P69" s="6"/>
      <c r="Q69" s="9">
        <f>O69/$O$198</f>
        <v>3.3729735301517355E-3</v>
      </c>
      <c r="R69" s="6"/>
      <c r="S69" s="7">
        <f t="shared" si="14"/>
        <v>83.333333333333329</v>
      </c>
      <c r="T69" s="169">
        <v>1000</v>
      </c>
      <c r="U69" s="7">
        <f>((427.15+19.54)/10)*12</f>
        <v>536.02800000000002</v>
      </c>
      <c r="V69" s="7"/>
      <c r="W69" s="6"/>
      <c r="X69" s="8">
        <v>1000</v>
      </c>
      <c r="Y69" s="6"/>
      <c r="Z69" s="9">
        <f>X69/$X$198</f>
        <v>3.099410492124398E-3</v>
      </c>
      <c r="AA69" s="6"/>
      <c r="AB69" s="7">
        <f t="shared" si="15"/>
        <v>83.333333333333329</v>
      </c>
    </row>
    <row r="70" spans="1:28" s="4" customFormat="1" ht="15.75" outlineLevel="2" x14ac:dyDescent="0.25">
      <c r="A70" s="30" t="s">
        <v>14</v>
      </c>
      <c r="B70" s="6"/>
      <c r="C70" s="6" t="s">
        <v>16</v>
      </c>
      <c r="D70" s="6"/>
      <c r="E70" s="7">
        <v>2046.34</v>
      </c>
      <c r="F70" s="7">
        <f t="shared" si="16"/>
        <v>2455.6079999999997</v>
      </c>
      <c r="G70" s="6"/>
      <c r="H70" s="8">
        <v>1000</v>
      </c>
      <c r="I70" s="6"/>
      <c r="J70" s="9">
        <f>H70/$H$198</f>
        <v>2.8276246372405008E-3</v>
      </c>
      <c r="K70" s="6"/>
      <c r="L70" s="6"/>
      <c r="M70" s="7"/>
      <c r="N70" s="6"/>
      <c r="O70" s="8">
        <v>1700</v>
      </c>
      <c r="P70" s="6"/>
      <c r="Q70" s="9">
        <f>O70/$O$198</f>
        <v>5.7340550012579504E-3</v>
      </c>
      <c r="R70" s="6"/>
      <c r="S70" s="7">
        <f t="shared" si="14"/>
        <v>141.66666666666666</v>
      </c>
      <c r="T70" s="169">
        <v>1700</v>
      </c>
      <c r="U70" s="7">
        <f>(1499.01/10)*12</f>
        <v>1798.8120000000001</v>
      </c>
      <c r="V70" s="7"/>
      <c r="W70" s="6"/>
      <c r="X70" s="8">
        <v>1700</v>
      </c>
      <c r="Y70" s="6"/>
      <c r="Z70" s="9">
        <f>X70/$X$198</f>
        <v>5.2689978366114764E-3</v>
      </c>
      <c r="AA70" s="6"/>
      <c r="AB70" s="7">
        <f t="shared" si="15"/>
        <v>141.66666666666666</v>
      </c>
    </row>
    <row r="71" spans="1:28" s="4" customFormat="1" ht="15.75" outlineLevel="2" x14ac:dyDescent="0.25">
      <c r="A71" s="30" t="s">
        <v>14</v>
      </c>
      <c r="B71" s="6"/>
      <c r="C71" s="6" t="s">
        <v>137</v>
      </c>
      <c r="D71" s="6"/>
      <c r="E71" s="7">
        <v>210.3</v>
      </c>
      <c r="F71" s="7">
        <f t="shared" si="16"/>
        <v>252.36</v>
      </c>
      <c r="G71" s="6"/>
      <c r="H71" s="8">
        <v>450</v>
      </c>
      <c r="I71" s="6"/>
      <c r="J71" s="9">
        <f>H71/$H$198</f>
        <v>1.2724310867582255E-3</v>
      </c>
      <c r="K71" s="6"/>
      <c r="L71" s="6"/>
      <c r="M71" s="7"/>
      <c r="N71" s="6"/>
      <c r="O71" s="8">
        <v>500</v>
      </c>
      <c r="P71" s="6"/>
      <c r="Q71" s="9">
        <f>O71/$O$198</f>
        <v>1.6864867650758677E-3</v>
      </c>
      <c r="R71" s="6"/>
      <c r="S71" s="7">
        <f t="shared" si="14"/>
        <v>41.666666666666664</v>
      </c>
      <c r="T71" s="169">
        <v>500</v>
      </c>
      <c r="U71" s="7">
        <f>(51.43/10)*12</f>
        <v>61.715999999999994</v>
      </c>
      <c r="V71" s="7"/>
      <c r="W71" s="6"/>
      <c r="X71" s="8">
        <v>500</v>
      </c>
      <c r="Y71" s="6"/>
      <c r="Z71" s="9">
        <f>X71/$X$198</f>
        <v>1.549705246062199E-3</v>
      </c>
      <c r="AA71" s="6"/>
      <c r="AB71" s="7">
        <f t="shared" si="15"/>
        <v>41.666666666666664</v>
      </c>
    </row>
    <row r="72" spans="1:28" s="4" customFormat="1" ht="15.75" outlineLevel="2" x14ac:dyDescent="0.25">
      <c r="A72" s="30" t="s">
        <v>14</v>
      </c>
      <c r="B72" s="6"/>
      <c r="C72" s="61" t="s">
        <v>17</v>
      </c>
      <c r="D72" s="6"/>
      <c r="E72" s="7">
        <v>310.33</v>
      </c>
      <c r="F72" s="7">
        <f t="shared" si="16"/>
        <v>372.39599999999996</v>
      </c>
      <c r="G72" s="6"/>
      <c r="H72" s="8">
        <v>300</v>
      </c>
      <c r="I72" s="6"/>
      <c r="J72" s="9">
        <f>H72/$H$198</f>
        <v>8.4828739117215031E-4</v>
      </c>
      <c r="K72" s="6"/>
      <c r="L72" s="6"/>
      <c r="M72" s="7"/>
      <c r="N72" s="6"/>
      <c r="O72" s="8">
        <v>400</v>
      </c>
      <c r="P72" s="6"/>
      <c r="Q72" s="9">
        <f t="shared" ref="Q72:Q78" si="17">O72/$O$198</f>
        <v>1.3491894120606941E-3</v>
      </c>
      <c r="R72" s="6"/>
      <c r="S72" s="7">
        <f t="shared" si="14"/>
        <v>33.333333333333336</v>
      </c>
      <c r="T72" s="169">
        <v>400</v>
      </c>
      <c r="U72" s="8">
        <f>(240/10)*12</f>
        <v>288</v>
      </c>
      <c r="V72" s="7"/>
      <c r="W72" s="6"/>
      <c r="X72" s="8">
        <v>400</v>
      </c>
      <c r="Y72" s="6"/>
      <c r="Z72" s="9">
        <f t="shared" ref="Z72:Z77" si="18">X72/$X$198</f>
        <v>1.2397641968497591E-3</v>
      </c>
      <c r="AA72" s="6"/>
      <c r="AB72" s="7">
        <f t="shared" ref="AB72:AB74" si="19">X72/12</f>
        <v>33.333333333333336</v>
      </c>
    </row>
    <row r="73" spans="1:28" s="4" customFormat="1" ht="15.75" outlineLevel="2" x14ac:dyDescent="0.25">
      <c r="A73" s="30" t="s">
        <v>14</v>
      </c>
      <c r="B73" s="6"/>
      <c r="C73" s="61" t="s">
        <v>18</v>
      </c>
      <c r="D73" s="6"/>
      <c r="E73" s="7">
        <v>474.66</v>
      </c>
      <c r="F73" s="7">
        <f t="shared" si="16"/>
        <v>569.59199999999998</v>
      </c>
      <c r="G73" s="6"/>
      <c r="H73" s="8">
        <v>300</v>
      </c>
      <c r="I73" s="6"/>
      <c r="J73" s="9">
        <f>H73/$H$198</f>
        <v>8.4828739117215031E-4</v>
      </c>
      <c r="K73" s="6"/>
      <c r="L73" s="6"/>
      <c r="M73" s="11" t="s">
        <v>154</v>
      </c>
      <c r="N73" s="6"/>
      <c r="O73" s="8">
        <v>600</v>
      </c>
      <c r="P73" s="6"/>
      <c r="Q73" s="9">
        <f t="shared" si="17"/>
        <v>2.0237841180910415E-3</v>
      </c>
      <c r="R73" s="6"/>
      <c r="S73" s="7">
        <f t="shared" si="14"/>
        <v>50</v>
      </c>
      <c r="T73" s="169">
        <v>600</v>
      </c>
      <c r="U73" s="8">
        <f>(885.93/10)*12</f>
        <v>1063.116</v>
      </c>
      <c r="V73" s="11" t="s">
        <v>154</v>
      </c>
      <c r="W73" s="6"/>
      <c r="X73" s="8">
        <v>600</v>
      </c>
      <c r="Y73" s="6"/>
      <c r="Z73" s="9">
        <f t="shared" si="18"/>
        <v>1.8596462952746387E-3</v>
      </c>
      <c r="AA73" s="6"/>
      <c r="AB73" s="7">
        <f t="shared" si="19"/>
        <v>50</v>
      </c>
    </row>
    <row r="74" spans="1:28" s="4" customFormat="1" ht="15.75" outlineLevel="2" x14ac:dyDescent="0.25">
      <c r="A74" s="30" t="s">
        <v>14</v>
      </c>
      <c r="B74" s="6"/>
      <c r="C74" s="6" t="s">
        <v>146</v>
      </c>
      <c r="D74" s="6"/>
      <c r="E74" s="7">
        <v>2258.9899999999998</v>
      </c>
      <c r="F74" s="7">
        <f t="shared" si="16"/>
        <v>2710.7879999999996</v>
      </c>
      <c r="G74" s="6"/>
      <c r="H74" s="8">
        <v>1400</v>
      </c>
      <c r="I74" s="6"/>
      <c r="J74" s="9">
        <f>H74/$H$198</f>
        <v>3.9586744921367009E-3</v>
      </c>
      <c r="K74" s="6"/>
      <c r="L74" s="6"/>
      <c r="M74" s="7"/>
      <c r="N74" s="6"/>
      <c r="O74" s="8">
        <v>3000</v>
      </c>
      <c r="P74" s="6"/>
      <c r="Q74" s="9">
        <f t="shared" si="17"/>
        <v>1.0118920590455207E-2</v>
      </c>
      <c r="R74" s="6"/>
      <c r="S74" s="7">
        <f t="shared" si="14"/>
        <v>250</v>
      </c>
      <c r="T74" s="169">
        <v>3000</v>
      </c>
      <c r="U74" s="8">
        <f>(3216.33/10)*12</f>
        <v>3859.5959999999995</v>
      </c>
      <c r="V74" s="7"/>
      <c r="W74" s="6"/>
      <c r="X74" s="8">
        <v>3000</v>
      </c>
      <c r="Y74" s="6"/>
      <c r="Z74" s="9">
        <f t="shared" si="18"/>
        <v>9.2982314763731932E-3</v>
      </c>
      <c r="AA74" s="6"/>
      <c r="AB74" s="7">
        <f t="shared" si="19"/>
        <v>250</v>
      </c>
    </row>
    <row r="75" spans="1:28" s="4" customFormat="1" ht="15.75" outlineLevel="2" x14ac:dyDescent="0.25">
      <c r="A75" s="30" t="s">
        <v>14</v>
      </c>
      <c r="B75" s="6"/>
      <c r="C75" s="61" t="s">
        <v>19</v>
      </c>
      <c r="D75" s="6"/>
      <c r="E75" s="7">
        <v>2102.44</v>
      </c>
      <c r="F75" s="7">
        <f t="shared" si="16"/>
        <v>2522.9279999999999</v>
      </c>
      <c r="G75" s="6"/>
      <c r="H75" s="8">
        <v>1600</v>
      </c>
      <c r="I75" s="6"/>
      <c r="J75" s="9">
        <f>H75/$H$198</f>
        <v>4.5241994195848014E-3</v>
      </c>
      <c r="K75" s="6"/>
      <c r="L75" s="6"/>
      <c r="M75" s="7"/>
      <c r="N75" s="6"/>
      <c r="O75" s="126">
        <v>3000</v>
      </c>
      <c r="P75" s="6"/>
      <c r="Q75" s="9">
        <f t="shared" si="17"/>
        <v>1.0118920590455207E-2</v>
      </c>
      <c r="R75" s="6"/>
      <c r="S75" s="7">
        <f>O75/12</f>
        <v>250</v>
      </c>
      <c r="T75" s="169">
        <v>3000</v>
      </c>
      <c r="U75" s="8">
        <f>(1469.4/10)*12</f>
        <v>1763.28</v>
      </c>
      <c r="V75" s="7"/>
      <c r="W75" s="6"/>
      <c r="X75" s="8">
        <v>1500</v>
      </c>
      <c r="Y75" s="6"/>
      <c r="Z75" s="9">
        <f t="shared" si="18"/>
        <v>4.6491157381865966E-3</v>
      </c>
      <c r="AA75" s="6"/>
      <c r="AB75" s="7">
        <f>X75/12</f>
        <v>125</v>
      </c>
    </row>
    <row r="76" spans="1:28" s="98" customFormat="1" ht="15.75" outlineLevel="2" x14ac:dyDescent="0.25">
      <c r="A76" s="107" t="s">
        <v>14</v>
      </c>
      <c r="B76" s="97"/>
      <c r="C76" s="97" t="s">
        <v>159</v>
      </c>
      <c r="D76" s="97"/>
      <c r="E76" s="99">
        <v>2005</v>
      </c>
      <c r="F76" s="7">
        <f t="shared" si="16"/>
        <v>2406</v>
      </c>
      <c r="G76" s="97"/>
      <c r="H76" s="109">
        <v>2400</v>
      </c>
      <c r="I76" s="97"/>
      <c r="J76" s="110">
        <f>H76/$H$198</f>
        <v>6.7862991293772025E-3</v>
      </c>
      <c r="K76" s="97"/>
      <c r="L76" s="97"/>
      <c r="M76" s="99"/>
      <c r="N76" s="97"/>
      <c r="O76" s="109">
        <v>2500</v>
      </c>
      <c r="P76" s="97"/>
      <c r="Q76" s="110">
        <f t="shared" si="17"/>
        <v>8.4324338253793391E-3</v>
      </c>
      <c r="R76" s="97"/>
      <c r="S76" s="99">
        <f>O76/12</f>
        <v>208.33333333333334</v>
      </c>
      <c r="T76" s="171">
        <v>2500</v>
      </c>
      <c r="U76" s="8">
        <f>(2009/10)*12</f>
        <v>2410.8000000000002</v>
      </c>
      <c r="V76" s="99"/>
      <c r="W76" s="97"/>
      <c r="X76" s="109">
        <v>2500</v>
      </c>
      <c r="Y76" s="97"/>
      <c r="Z76" s="110">
        <f t="shared" si="18"/>
        <v>7.7485262303109946E-3</v>
      </c>
      <c r="AA76" s="97"/>
      <c r="AB76" s="99">
        <f>X76/12</f>
        <v>208.33333333333334</v>
      </c>
    </row>
    <row r="77" spans="1:28" s="98" customFormat="1" ht="15.75" hidden="1" outlineLevel="2" x14ac:dyDescent="0.25">
      <c r="A77" s="184"/>
      <c r="B77" s="185"/>
      <c r="C77" s="186" t="s">
        <v>158</v>
      </c>
      <c r="D77" s="118"/>
      <c r="E77" s="119">
        <v>22295.14</v>
      </c>
      <c r="F77" s="7">
        <f t="shared" si="16"/>
        <v>26754.168000000001</v>
      </c>
      <c r="G77" s="118"/>
      <c r="H77" s="120"/>
      <c r="I77" s="118"/>
      <c r="J77" s="121"/>
      <c r="K77" s="118"/>
      <c r="L77" s="97"/>
      <c r="M77" s="146">
        <v>27000</v>
      </c>
      <c r="N77" s="118"/>
      <c r="O77" s="120">
        <v>0</v>
      </c>
      <c r="P77" s="118"/>
      <c r="Q77" s="110">
        <f t="shared" si="17"/>
        <v>0</v>
      </c>
      <c r="R77" s="97"/>
      <c r="S77" s="99">
        <f>O77/12</f>
        <v>0</v>
      </c>
      <c r="T77" s="171">
        <v>0</v>
      </c>
      <c r="U77" s="8">
        <v>0</v>
      </c>
      <c r="V77" s="146"/>
      <c r="W77" s="118"/>
      <c r="X77" s="120">
        <v>0</v>
      </c>
      <c r="Y77" s="118"/>
      <c r="Z77" s="110">
        <f t="shared" si="18"/>
        <v>0</v>
      </c>
      <c r="AA77" s="97"/>
      <c r="AB77" s="99">
        <f>X77/12</f>
        <v>0</v>
      </c>
    </row>
    <row r="78" spans="1:28" s="4" customFormat="1" ht="15.75" outlineLevel="1" collapsed="1" x14ac:dyDescent="0.25">
      <c r="A78" s="21" t="s">
        <v>109</v>
      </c>
      <c r="B78" s="24"/>
      <c r="C78" s="62"/>
      <c r="D78" s="24"/>
      <c r="E78" s="35">
        <f>SUBTOTAL(9,E68:E77)</f>
        <v>32159.29</v>
      </c>
      <c r="F78" s="35">
        <f>SUBTOTAL(9,F68:F77)</f>
        <v>38591.148000000001</v>
      </c>
      <c r="G78" s="24"/>
      <c r="H78" s="35">
        <f>SUBTOTAL(9,H68:H77)</f>
        <v>8450</v>
      </c>
      <c r="I78" s="24"/>
      <c r="J78" s="26">
        <f>SUBTOTAL(9,J68:J77)</f>
        <v>2.3893428184682233E-2</v>
      </c>
      <c r="K78" s="24"/>
      <c r="L78" s="24"/>
      <c r="M78" s="147">
        <f>SUBTOTAL(9,M68:M77)</f>
        <v>27000</v>
      </c>
      <c r="N78" s="24"/>
      <c r="O78" s="35">
        <f>SUBTOTAL(9,O68:O77)</f>
        <v>12700</v>
      </c>
      <c r="P78" s="24"/>
      <c r="Q78" s="26">
        <f t="shared" si="17"/>
        <v>4.283676383292704E-2</v>
      </c>
      <c r="R78" s="24"/>
      <c r="S78" s="25">
        <f>SUBTOTAL(9,S68:S77)</f>
        <v>1058.3333333333333</v>
      </c>
      <c r="T78" s="170">
        <f>SUBTOTAL(9,T67:T77)</f>
        <v>12700</v>
      </c>
      <c r="U78" s="35">
        <f>SUM(U69:U77)</f>
        <v>11781.348000000002</v>
      </c>
      <c r="V78" s="147">
        <f>SUBTOTAL(9,V68:V77)</f>
        <v>0</v>
      </c>
      <c r="W78" s="24"/>
      <c r="X78" s="35">
        <f>SUBTOTAL(9,X68:X77)</f>
        <v>11200</v>
      </c>
      <c r="Y78" s="24"/>
      <c r="Z78" s="26">
        <f>X78/$O$198</f>
        <v>3.7777303537699439E-2</v>
      </c>
      <c r="AA78" s="24"/>
      <c r="AB78" s="25">
        <f>SUBTOTAL(9,AB68:AB77)</f>
        <v>933.33333333333337</v>
      </c>
    </row>
    <row r="79" spans="1:28" s="4" customFormat="1" ht="15.75" outlineLevel="1" x14ac:dyDescent="0.25">
      <c r="A79" s="128"/>
      <c r="B79" s="6"/>
      <c r="C79" s="61"/>
      <c r="D79" s="6"/>
      <c r="E79" s="7"/>
      <c r="F79" s="7"/>
      <c r="G79" s="6"/>
      <c r="H79" s="7"/>
      <c r="I79" s="6"/>
      <c r="J79" s="129"/>
      <c r="K79" s="6"/>
      <c r="L79" s="6"/>
      <c r="M79" s="7"/>
      <c r="N79" s="6"/>
      <c r="O79" s="7"/>
      <c r="P79" s="6"/>
      <c r="Q79" s="129"/>
      <c r="R79" s="6"/>
      <c r="S79" s="7"/>
      <c r="T79" s="169"/>
      <c r="U79" s="8"/>
      <c r="V79" s="7"/>
      <c r="W79" s="6"/>
      <c r="X79" s="7"/>
      <c r="Y79" s="6"/>
      <c r="Z79" s="129"/>
      <c r="AA79" s="6"/>
      <c r="AB79" s="7"/>
    </row>
    <row r="80" spans="1:28" s="10" customFormat="1" ht="15.75" outlineLevel="2" x14ac:dyDescent="0.25">
      <c r="A80" s="30" t="s">
        <v>20</v>
      </c>
      <c r="C80" s="5" t="s">
        <v>20</v>
      </c>
      <c r="D80" s="6"/>
      <c r="E80" s="7"/>
      <c r="F80" s="7"/>
      <c r="G80" s="6"/>
      <c r="H80" s="8"/>
      <c r="I80" s="6"/>
      <c r="J80" s="14"/>
      <c r="K80" s="6"/>
      <c r="L80" s="6"/>
      <c r="M80" s="7"/>
      <c r="N80" s="6"/>
      <c r="O80" s="8"/>
      <c r="P80" s="6"/>
      <c r="Q80" s="14"/>
      <c r="R80" s="6"/>
      <c r="S80" s="7"/>
      <c r="T80" s="174"/>
      <c r="V80" s="7"/>
      <c r="W80" s="6"/>
      <c r="X80" s="8"/>
      <c r="Y80" s="6"/>
      <c r="Z80" s="14"/>
      <c r="AA80" s="6"/>
      <c r="AB80" s="7"/>
    </row>
    <row r="81" spans="1:28" s="10" customFormat="1" ht="15.75" outlineLevel="2" x14ac:dyDescent="0.25">
      <c r="A81" s="30" t="s">
        <v>20</v>
      </c>
      <c r="B81" s="5"/>
      <c r="C81" s="6" t="s">
        <v>165</v>
      </c>
      <c r="D81" s="6"/>
      <c r="E81" s="7">
        <v>10165</v>
      </c>
      <c r="F81" s="7">
        <f t="shared" ref="F81:F87" si="20">(E81/10)*12</f>
        <v>12198</v>
      </c>
      <c r="G81" s="6"/>
      <c r="H81" s="8">
        <v>9672</v>
      </c>
      <c r="I81" s="6"/>
      <c r="J81" s="9">
        <f>H81/$H$198</f>
        <v>2.7348785491390123E-2</v>
      </c>
      <c r="K81" s="6"/>
      <c r="L81" s="6"/>
      <c r="M81" s="7">
        <f>O81/20</f>
        <v>639.6</v>
      </c>
      <c r="N81" s="6"/>
      <c r="O81" s="126">
        <v>12792</v>
      </c>
      <c r="P81" s="6"/>
      <c r="Q81" s="9">
        <f>O81/$O$198</f>
        <v>4.3147077397701003E-2</v>
      </c>
      <c r="R81" s="6"/>
      <c r="S81" s="7">
        <f t="shared" ref="S81:S87" si="21">O81/12</f>
        <v>1066</v>
      </c>
      <c r="T81" s="169">
        <v>12792</v>
      </c>
      <c r="U81" s="8">
        <f>(507/10)*12</f>
        <v>608.40000000000009</v>
      </c>
      <c r="V81" s="7">
        <v>18.5</v>
      </c>
      <c r="W81" s="6"/>
      <c r="X81" s="8">
        <v>12500</v>
      </c>
      <c r="Y81" s="6"/>
      <c r="Z81" s="9">
        <f t="shared" ref="Z81:Z87" si="22">X81/$X$198</f>
        <v>3.8742631151554976E-2</v>
      </c>
      <c r="AA81" s="6"/>
      <c r="AB81" s="7">
        <f t="shared" ref="AB81:AB82" si="23">X81/12</f>
        <v>1041.6666666666667</v>
      </c>
    </row>
    <row r="82" spans="1:28" s="10" customFormat="1" ht="15.75" outlineLevel="2" x14ac:dyDescent="0.25">
      <c r="A82" s="30" t="s">
        <v>20</v>
      </c>
      <c r="B82" s="5"/>
      <c r="C82" s="61" t="s">
        <v>141</v>
      </c>
      <c r="D82" s="6"/>
      <c r="E82" s="7">
        <v>11712.25</v>
      </c>
      <c r="F82" s="7">
        <f t="shared" si="20"/>
        <v>14054.699999999999</v>
      </c>
      <c r="G82" s="6"/>
      <c r="H82" s="8">
        <v>12000</v>
      </c>
      <c r="I82" s="6"/>
      <c r="J82" s="9">
        <f>H82/$H$198</f>
        <v>3.3931495646886009E-2</v>
      </c>
      <c r="K82" s="6"/>
      <c r="L82" s="6"/>
      <c r="M82" s="7">
        <f>O82/624</f>
        <v>22.426282051282051</v>
      </c>
      <c r="N82" s="6"/>
      <c r="O82" s="126">
        <v>13994</v>
      </c>
      <c r="P82" s="6"/>
      <c r="Q82" s="9">
        <f>O82/$O$198</f>
        <v>4.7201391580943386E-2</v>
      </c>
      <c r="R82" s="6"/>
      <c r="S82" s="7">
        <f t="shared" si="21"/>
        <v>1166.1666666666667</v>
      </c>
      <c r="T82" s="169">
        <v>13994</v>
      </c>
      <c r="U82" s="8">
        <f>((11631.5/10)*12)+2400</f>
        <v>16357.800000000001</v>
      </c>
      <c r="V82" s="7">
        <v>21.5</v>
      </c>
      <c r="W82" s="6"/>
      <c r="X82" s="8">
        <v>15551</v>
      </c>
      <c r="Y82" s="6"/>
      <c r="Z82" s="9">
        <f t="shared" si="22"/>
        <v>4.8198932563026514E-2</v>
      </c>
      <c r="AA82" s="6"/>
      <c r="AB82" s="7">
        <f t="shared" si="23"/>
        <v>1295.9166666666667</v>
      </c>
    </row>
    <row r="83" spans="1:28" s="10" customFormat="1" ht="15.75" outlineLevel="2" x14ac:dyDescent="0.25">
      <c r="A83" s="30"/>
      <c r="B83" s="5"/>
      <c r="C83" s="61" t="s">
        <v>185</v>
      </c>
      <c r="D83" s="6"/>
      <c r="E83" s="7"/>
      <c r="F83" s="7"/>
      <c r="G83" s="6"/>
      <c r="H83" s="8"/>
      <c r="I83" s="6"/>
      <c r="J83" s="9"/>
      <c r="K83" s="6"/>
      <c r="L83" s="6"/>
      <c r="M83" s="7"/>
      <c r="N83" s="6"/>
      <c r="O83" s="126">
        <v>8741.2000000000007</v>
      </c>
      <c r="P83" s="6"/>
      <c r="Q83" s="9"/>
      <c r="R83" s="6"/>
      <c r="S83" s="7"/>
      <c r="T83" s="169">
        <v>8741.2000000000007</v>
      </c>
      <c r="U83" s="8">
        <v>0</v>
      </c>
      <c r="V83" s="7">
        <v>25</v>
      </c>
      <c r="W83" s="6"/>
      <c r="X83" s="8">
        <v>13995</v>
      </c>
      <c r="Y83" s="6"/>
      <c r="Z83" s="9">
        <f t="shared" si="22"/>
        <v>4.3376249837280952E-2</v>
      </c>
      <c r="AA83" s="6"/>
      <c r="AB83" s="7"/>
    </row>
    <row r="84" spans="1:28" s="10" customFormat="1" ht="15.75" outlineLevel="2" x14ac:dyDescent="0.25">
      <c r="A84" s="30" t="s">
        <v>20</v>
      </c>
      <c r="B84" s="5"/>
      <c r="C84" s="61" t="s">
        <v>21</v>
      </c>
      <c r="D84" s="6"/>
      <c r="E84" s="7">
        <v>0</v>
      </c>
      <c r="F84" s="7">
        <f t="shared" si="20"/>
        <v>0</v>
      </c>
      <c r="G84" s="6"/>
      <c r="H84" s="8">
        <v>2400</v>
      </c>
      <c r="I84" s="6"/>
      <c r="J84" s="9">
        <f>H84/$H$198</f>
        <v>6.7862991293772025E-3</v>
      </c>
      <c r="K84" s="6"/>
      <c r="L84" s="6"/>
      <c r="M84" s="7"/>
      <c r="N84" s="6"/>
      <c r="O84" s="8">
        <v>2400</v>
      </c>
      <c r="P84" s="6"/>
      <c r="Q84" s="9">
        <f>O84/$O$198</f>
        <v>8.0951364723641662E-3</v>
      </c>
      <c r="R84" s="6"/>
      <c r="S84" s="7">
        <f t="shared" si="21"/>
        <v>200</v>
      </c>
      <c r="T84" s="169">
        <v>2400</v>
      </c>
      <c r="U84" s="8">
        <v>0</v>
      </c>
      <c r="V84" s="7"/>
      <c r="W84" s="6"/>
      <c r="X84" s="8">
        <v>2400</v>
      </c>
      <c r="Y84" s="6"/>
      <c r="Z84" s="9">
        <f t="shared" si="22"/>
        <v>7.4385851810985547E-3</v>
      </c>
      <c r="AA84" s="6"/>
      <c r="AB84" s="7">
        <f t="shared" ref="AB84:AB87" si="24">X84/12</f>
        <v>200</v>
      </c>
    </row>
    <row r="85" spans="1:28" s="10" customFormat="1" ht="15.75" outlineLevel="2" x14ac:dyDescent="0.25">
      <c r="A85" s="30" t="s">
        <v>20</v>
      </c>
      <c r="B85" s="5"/>
      <c r="C85" s="6" t="s">
        <v>104</v>
      </c>
      <c r="D85" s="6"/>
      <c r="E85" s="7">
        <v>0</v>
      </c>
      <c r="F85" s="7">
        <f t="shared" si="20"/>
        <v>0</v>
      </c>
      <c r="G85" s="6"/>
      <c r="H85" s="8">
        <v>100</v>
      </c>
      <c r="I85" s="6"/>
      <c r="J85" s="9">
        <f>H85/$H$198</f>
        <v>2.8276246372405009E-4</v>
      </c>
      <c r="K85" s="6"/>
      <c r="L85" s="6"/>
      <c r="M85" s="7"/>
      <c r="N85" s="6"/>
      <c r="O85" s="8">
        <v>100</v>
      </c>
      <c r="P85" s="6"/>
      <c r="Q85" s="9">
        <f>O85/$O$198</f>
        <v>3.3729735301517354E-4</v>
      </c>
      <c r="R85" s="6"/>
      <c r="S85" s="7">
        <f t="shared" si="21"/>
        <v>8.3333333333333339</v>
      </c>
      <c r="T85" s="169">
        <v>100</v>
      </c>
      <c r="U85" s="8">
        <f>(110/10)*12</f>
        <v>132</v>
      </c>
      <c r="V85" s="7"/>
      <c r="W85" s="6"/>
      <c r="X85" s="8">
        <v>100</v>
      </c>
      <c r="Y85" s="6"/>
      <c r="Z85" s="9">
        <f t="shared" si="22"/>
        <v>3.0994104921243978E-4</v>
      </c>
      <c r="AA85" s="6"/>
      <c r="AB85" s="7">
        <f t="shared" si="24"/>
        <v>8.3333333333333339</v>
      </c>
    </row>
    <row r="86" spans="1:28" s="10" customFormat="1" ht="15.75" outlineLevel="2" x14ac:dyDescent="0.25">
      <c r="A86" s="30" t="s">
        <v>20</v>
      </c>
      <c r="B86" s="5"/>
      <c r="C86" s="6" t="s">
        <v>22</v>
      </c>
      <c r="D86" s="6"/>
      <c r="E86" s="7">
        <v>10526</v>
      </c>
      <c r="F86" s="7">
        <f t="shared" si="20"/>
        <v>12631.199999999999</v>
      </c>
      <c r="G86" s="6"/>
      <c r="H86" s="8">
        <v>9000</v>
      </c>
      <c r="I86" s="6"/>
      <c r="J86" s="9">
        <f>H86/$H$198</f>
        <v>2.5448621735164507E-2</v>
      </c>
      <c r="K86" s="6"/>
      <c r="L86" s="6"/>
      <c r="M86" s="7"/>
      <c r="N86" s="6"/>
      <c r="O86" s="8">
        <v>13000</v>
      </c>
      <c r="P86" s="6"/>
      <c r="Q86" s="9">
        <f>O86/$O$198</f>
        <v>4.3848655891972566E-2</v>
      </c>
      <c r="R86" s="6"/>
      <c r="S86" s="7">
        <f t="shared" si="21"/>
        <v>1083.3333333333333</v>
      </c>
      <c r="T86" s="169">
        <v>13000</v>
      </c>
      <c r="U86" s="8">
        <f>(8976/10)*12</f>
        <v>10771.2</v>
      </c>
      <c r="V86" s="7"/>
      <c r="W86" s="6"/>
      <c r="X86" s="8">
        <v>13000</v>
      </c>
      <c r="Y86" s="6"/>
      <c r="Z86" s="9">
        <f t="shared" si="22"/>
        <v>4.0292336397617173E-2</v>
      </c>
      <c r="AA86" s="6"/>
      <c r="AB86" s="7">
        <f t="shared" si="24"/>
        <v>1083.3333333333333</v>
      </c>
    </row>
    <row r="87" spans="1:28" s="10" customFormat="1" ht="15.75" outlineLevel="2" x14ac:dyDescent="0.25">
      <c r="A87" s="30" t="s">
        <v>20</v>
      </c>
      <c r="B87" s="5"/>
      <c r="C87" s="61" t="s">
        <v>105</v>
      </c>
      <c r="D87" s="6"/>
      <c r="E87" s="7">
        <v>238.52</v>
      </c>
      <c r="F87" s="7">
        <f t="shared" si="20"/>
        <v>286.22399999999999</v>
      </c>
      <c r="G87" s="6"/>
      <c r="H87" s="8">
        <v>200</v>
      </c>
      <c r="I87" s="6"/>
      <c r="J87" s="9">
        <f>H87/$H$198</f>
        <v>5.6552492744810017E-4</v>
      </c>
      <c r="K87" s="6"/>
      <c r="L87" s="6"/>
      <c r="M87" s="7"/>
      <c r="N87" s="6"/>
      <c r="O87" s="8">
        <v>200</v>
      </c>
      <c r="P87" s="6"/>
      <c r="Q87" s="9">
        <f>O87/$O$198</f>
        <v>6.7459470603034707E-4</v>
      </c>
      <c r="R87" s="6"/>
      <c r="S87" s="7">
        <f t="shared" si="21"/>
        <v>16.666666666666668</v>
      </c>
      <c r="T87" s="169">
        <v>200</v>
      </c>
      <c r="U87" s="8">
        <v>0</v>
      </c>
      <c r="V87" s="7"/>
      <c r="W87" s="6"/>
      <c r="X87" s="8">
        <v>200</v>
      </c>
      <c r="Y87" s="6"/>
      <c r="Z87" s="9">
        <f t="shared" si="22"/>
        <v>6.1988209842487956E-4</v>
      </c>
      <c r="AA87" s="6"/>
      <c r="AB87" s="7">
        <f t="shared" si="24"/>
        <v>16.666666666666668</v>
      </c>
    </row>
    <row r="88" spans="1:28" s="10" customFormat="1" ht="15.75" outlineLevel="1" x14ac:dyDescent="0.25">
      <c r="A88" s="21" t="s">
        <v>110</v>
      </c>
      <c r="B88" s="23"/>
      <c r="C88" s="62"/>
      <c r="D88" s="24"/>
      <c r="E88" s="35">
        <f>SUBTOTAL(9,E80:E87)</f>
        <v>32641.77</v>
      </c>
      <c r="F88" s="35">
        <f>SUBTOTAL(9,F80:F87)</f>
        <v>39170.123999999996</v>
      </c>
      <c r="G88" s="24"/>
      <c r="H88" s="35">
        <f>SUBTOTAL(9,H80:H87)</f>
        <v>33372</v>
      </c>
      <c r="I88" s="24"/>
      <c r="J88" s="56">
        <f>SUBTOTAL(9,J80:J87)</f>
        <v>9.4363489393989988E-2</v>
      </c>
      <c r="K88" s="24"/>
      <c r="L88" s="24"/>
      <c r="M88" s="25">
        <f>SUBTOTAL(9,M80:M87)</f>
        <v>662.02628205128212</v>
      </c>
      <c r="N88" s="24"/>
      <c r="O88" s="35">
        <f>SUBTOTAL(9,O80:O87)</f>
        <v>51227.199999999997</v>
      </c>
      <c r="P88" s="24"/>
      <c r="Q88" s="56">
        <f>SUBTOTAL(9,Q80:Q87)</f>
        <v>0.14330415340202665</v>
      </c>
      <c r="R88" s="24"/>
      <c r="S88" s="25">
        <f>SUBTOTAL(9,S80:S87)</f>
        <v>3540.5000000000005</v>
      </c>
      <c r="T88" s="170">
        <f>SUBTOTAL(9,T79:T87)</f>
        <v>51227.199999999997</v>
      </c>
      <c r="U88" s="8">
        <f>SUM(U81:U87)</f>
        <v>27869.4</v>
      </c>
      <c r="V88" s="25"/>
      <c r="W88" s="24"/>
      <c r="X88" s="35">
        <f>SUBTOTAL(9,X80:X87)</f>
        <v>57746</v>
      </c>
      <c r="Y88" s="24"/>
      <c r="Z88" s="56">
        <f>SUBTOTAL(9,Z80:Z87)</f>
        <v>0.17897855827821549</v>
      </c>
      <c r="AA88" s="24"/>
      <c r="AB88" s="25">
        <f>SUBTOTAL(9,AB80:AB87)</f>
        <v>3645.9166666666665</v>
      </c>
    </row>
    <row r="89" spans="1:28" s="4" customFormat="1" outlineLevel="1" x14ac:dyDescent="0.2">
      <c r="A89" s="6"/>
      <c r="B89" s="6"/>
      <c r="C89" s="61"/>
      <c r="D89" s="6"/>
      <c r="E89" s="7"/>
      <c r="F89" s="7"/>
      <c r="G89" s="6"/>
      <c r="H89" s="7"/>
      <c r="I89" s="6"/>
      <c r="J89" s="14"/>
      <c r="K89" s="6"/>
      <c r="L89" s="6"/>
      <c r="M89" s="7"/>
      <c r="N89" s="6"/>
      <c r="O89" s="7"/>
      <c r="P89" s="6"/>
      <c r="Q89" s="14"/>
      <c r="R89" s="6"/>
      <c r="S89" s="7">
        <f>O89/12</f>
        <v>0</v>
      </c>
      <c r="T89" s="172"/>
      <c r="V89" s="7"/>
      <c r="W89" s="6"/>
      <c r="X89" s="7"/>
      <c r="Y89" s="6"/>
      <c r="Z89" s="14"/>
      <c r="AA89" s="6"/>
      <c r="AB89" s="7">
        <f>X89/12</f>
        <v>0</v>
      </c>
    </row>
    <row r="90" spans="1:28" s="10" customFormat="1" ht="15.75" outlineLevel="2" x14ac:dyDescent="0.25">
      <c r="A90" s="30" t="s">
        <v>90</v>
      </c>
      <c r="B90" s="5"/>
      <c r="C90" s="5" t="s">
        <v>90</v>
      </c>
      <c r="D90" s="6"/>
      <c r="E90" s="18">
        <v>20089.89</v>
      </c>
      <c r="F90" s="7">
        <f>(E90/10)*12</f>
        <v>24107.868000000002</v>
      </c>
      <c r="G90" s="6"/>
      <c r="H90" s="8">
        <v>12000</v>
      </c>
      <c r="I90" s="6"/>
      <c r="J90" s="9">
        <f>H90/$H$198</f>
        <v>3.3931495646886009E-2</v>
      </c>
      <c r="K90" s="6"/>
      <c r="L90" s="6"/>
      <c r="M90" s="18" t="s">
        <v>133</v>
      </c>
      <c r="N90" s="6"/>
      <c r="O90" s="8">
        <v>25000</v>
      </c>
      <c r="P90" s="6"/>
      <c r="Q90" s="9">
        <f>O90/$O$198</f>
        <v>8.4324338253793388E-2</v>
      </c>
      <c r="R90" s="6"/>
      <c r="S90" s="7">
        <f>O90/12</f>
        <v>2083.3333333333335</v>
      </c>
      <c r="T90" s="169">
        <v>25000</v>
      </c>
      <c r="U90" s="8">
        <f>(18563.99/10)*12</f>
        <v>22276.788</v>
      </c>
      <c r="V90" s="18" t="s">
        <v>133</v>
      </c>
      <c r="W90" s="6"/>
      <c r="X90" s="240">
        <v>15594</v>
      </c>
      <c r="Y90" s="6"/>
      <c r="Z90" s="9">
        <f>X90/$X$198</f>
        <v>4.8332207214187864E-2</v>
      </c>
      <c r="AA90" s="6"/>
      <c r="AB90" s="7">
        <f>X90/12</f>
        <v>1299.5</v>
      </c>
    </row>
    <row r="91" spans="1:28" s="10" customFormat="1" ht="15.75" outlineLevel="1" x14ac:dyDescent="0.25">
      <c r="A91" s="21" t="s">
        <v>111</v>
      </c>
      <c r="B91" s="23"/>
      <c r="C91" s="63"/>
      <c r="D91" s="24"/>
      <c r="E91" s="35">
        <f>SUBTOTAL(9,E90:E90)</f>
        <v>20089.89</v>
      </c>
      <c r="F91" s="35">
        <f>SUBTOTAL(9,F90:F90)</f>
        <v>24107.868000000002</v>
      </c>
      <c r="G91" s="24"/>
      <c r="H91" s="35">
        <f>SUBTOTAL(9,H90:H90)</f>
        <v>12000</v>
      </c>
      <c r="I91" s="24"/>
      <c r="J91" s="56">
        <f>SUBTOTAL(9,J90:J90)</f>
        <v>3.3931495646886009E-2</v>
      </c>
      <c r="K91" s="24"/>
      <c r="L91" s="24"/>
      <c r="M91" s="57">
        <f>SUBTOTAL(9,M90:M90)</f>
        <v>0</v>
      </c>
      <c r="N91" s="24"/>
      <c r="O91" s="35">
        <f>SUBTOTAL(9,O90:O90)</f>
        <v>25000</v>
      </c>
      <c r="P91" s="24"/>
      <c r="Q91" s="56">
        <f>SUBTOTAL(9,Q90:Q90)</f>
        <v>8.4324338253793388E-2</v>
      </c>
      <c r="R91" s="24"/>
      <c r="S91" s="25">
        <f>SUBTOTAL(9,S90:S90)</f>
        <v>2083.3333333333335</v>
      </c>
      <c r="T91" s="170">
        <f>SUBTOTAL(9,T90:T90)</f>
        <v>25000</v>
      </c>
      <c r="U91" s="35">
        <f>SUM(U90)</f>
        <v>22276.788</v>
      </c>
      <c r="V91" s="57">
        <f>SUBTOTAL(9,V90:V90)</f>
        <v>0</v>
      </c>
      <c r="W91" s="24"/>
      <c r="X91" s="35">
        <f>SUBTOTAL(9,X90:X90)</f>
        <v>15594</v>
      </c>
      <c r="Y91" s="24"/>
      <c r="Z91" s="56">
        <f>SUBTOTAL(9,Z90:Z90)</f>
        <v>4.8332207214187864E-2</v>
      </c>
      <c r="AA91" s="24"/>
      <c r="AB91" s="25">
        <f>SUBTOTAL(9,AB90:AB90)</f>
        <v>1299.5</v>
      </c>
    </row>
    <row r="92" spans="1:28" s="10" customFormat="1" ht="15.75" outlineLevel="1" x14ac:dyDescent="0.25">
      <c r="A92" s="54" t="s">
        <v>176</v>
      </c>
      <c r="B92" s="54"/>
      <c r="C92" s="54"/>
      <c r="D92" s="50"/>
      <c r="E92" s="53">
        <f>E91+E88+E78+E65+E58+E55+E51+E44</f>
        <v>95863.680000000008</v>
      </c>
      <c r="F92" s="53">
        <f>F91+F88+F78+F65+F58+F55+F51+F44</f>
        <v>111135.36</v>
      </c>
      <c r="G92" s="50"/>
      <c r="H92" s="53">
        <f>H91+H88+H78+H65+H58+H55+H51+H44</f>
        <v>83572</v>
      </c>
      <c r="I92" s="50"/>
      <c r="J92" s="52">
        <f>H92/H198</f>
        <v>0.23631024618346314</v>
      </c>
      <c r="K92" s="50"/>
      <c r="L92" s="24"/>
      <c r="M92" s="55"/>
      <c r="N92" s="50"/>
      <c r="O92" s="53">
        <f>O91+O88+O78+O65+O58+O55+O51+O44</f>
        <v>121654.87</v>
      </c>
      <c r="P92" s="50"/>
      <c r="Q92" s="52">
        <f>O92/$O$198</f>
        <v>0.41033865632405048</v>
      </c>
      <c r="R92" s="50"/>
      <c r="S92" s="51">
        <f>O92/12</f>
        <v>10137.905833333332</v>
      </c>
      <c r="T92" s="170">
        <f>T91+T88+T78+T65+T58+T55+T51+T44</f>
        <v>121654.87</v>
      </c>
      <c r="U92" s="35"/>
      <c r="V92" s="55"/>
      <c r="W92" s="50"/>
      <c r="X92" s="53">
        <f>X91+X88+X78+X65+X58+X55+X51+X44</f>
        <v>117875</v>
      </c>
      <c r="Y92" s="50"/>
      <c r="Z92" s="52">
        <f>X92/$O$198</f>
        <v>0.39758925486663582</v>
      </c>
      <c r="AA92" s="50"/>
      <c r="AB92" s="51">
        <f>X92/12</f>
        <v>9822.9166666666661</v>
      </c>
    </row>
    <row r="93" spans="1:28" s="10" customFormat="1" ht="15.75" outlineLevel="1" x14ac:dyDescent="0.25">
      <c r="A93" s="5"/>
      <c r="B93" s="5"/>
      <c r="C93" s="60"/>
      <c r="D93" s="6"/>
      <c r="E93" s="18"/>
      <c r="F93" s="18"/>
      <c r="G93" s="6"/>
      <c r="H93" s="8"/>
      <c r="I93" s="6"/>
      <c r="J93" s="58"/>
      <c r="K93" s="6"/>
      <c r="L93" s="6"/>
      <c r="M93" s="18"/>
      <c r="N93" s="6"/>
      <c r="O93" s="8"/>
      <c r="P93" s="6"/>
      <c r="Q93" s="58"/>
      <c r="R93" s="6"/>
      <c r="S93" s="7"/>
      <c r="T93" s="169"/>
      <c r="U93" s="8"/>
      <c r="V93" s="18"/>
      <c r="W93" s="6"/>
      <c r="X93" s="8"/>
      <c r="Y93" s="6"/>
      <c r="Z93" s="58"/>
      <c r="AA93" s="6"/>
      <c r="AB93" s="7"/>
    </row>
    <row r="94" spans="1:28" s="4" customFormat="1" ht="15.75" outlineLevel="1" x14ac:dyDescent="0.25">
      <c r="B94" s="5"/>
      <c r="C94" s="60" t="s">
        <v>23</v>
      </c>
      <c r="D94" s="6"/>
      <c r="E94" s="18"/>
      <c r="F94" s="7"/>
      <c r="G94" s="6"/>
      <c r="H94" s="8"/>
      <c r="I94" s="6"/>
      <c r="J94" s="14"/>
      <c r="K94" s="6"/>
      <c r="L94" s="6"/>
      <c r="M94" s="7"/>
      <c r="N94" s="6"/>
      <c r="O94" s="8"/>
      <c r="P94" s="6"/>
      <c r="Q94" s="14"/>
      <c r="R94" s="6"/>
      <c r="S94" s="7"/>
      <c r="T94" s="169"/>
      <c r="U94" s="8"/>
      <c r="V94" s="7"/>
      <c r="W94" s="6"/>
      <c r="X94" s="8"/>
      <c r="Y94" s="6"/>
      <c r="Z94" s="14"/>
      <c r="AA94" s="6"/>
      <c r="AB94" s="7"/>
    </row>
    <row r="95" spans="1:28" s="4" customFormat="1" ht="15.75" outlineLevel="2" x14ac:dyDescent="0.25">
      <c r="A95" s="30" t="s">
        <v>24</v>
      </c>
      <c r="B95" s="5"/>
      <c r="C95" s="60" t="s">
        <v>24</v>
      </c>
      <c r="D95" s="6"/>
      <c r="E95" s="18">
        <v>488.64</v>
      </c>
      <c r="F95" s="7">
        <f>(E95/10)*12</f>
        <v>586.36799999999994</v>
      </c>
      <c r="G95" s="6"/>
      <c r="H95" s="8"/>
      <c r="I95" s="6"/>
      <c r="J95" s="14"/>
      <c r="K95" s="6"/>
      <c r="L95" s="6"/>
      <c r="M95" s="7"/>
      <c r="N95" s="6"/>
      <c r="O95" s="8"/>
      <c r="P95" s="6"/>
      <c r="Q95" s="14"/>
      <c r="R95" s="6"/>
      <c r="S95" s="7">
        <f>O95/12</f>
        <v>0</v>
      </c>
      <c r="T95" s="172"/>
      <c r="U95" s="8">
        <f>(626.18/10)*12</f>
        <v>751.41599999999994</v>
      </c>
      <c r="V95" s="7" t="s">
        <v>198</v>
      </c>
      <c r="W95" s="6"/>
      <c r="X95" s="8"/>
      <c r="Y95" s="6"/>
      <c r="Z95" s="14"/>
      <c r="AA95" s="6"/>
      <c r="AB95" s="7">
        <f>X95/12</f>
        <v>0</v>
      </c>
    </row>
    <row r="96" spans="1:28" s="4" customFormat="1" ht="15.75" outlineLevel="2" x14ac:dyDescent="0.25">
      <c r="A96" s="30" t="s">
        <v>24</v>
      </c>
      <c r="B96" s="6"/>
      <c r="C96" s="6" t="s">
        <v>140</v>
      </c>
      <c r="D96" s="6"/>
      <c r="E96" s="7">
        <v>0</v>
      </c>
      <c r="F96" s="7">
        <f>(E96/10)*12</f>
        <v>0</v>
      </c>
      <c r="G96" s="6"/>
      <c r="H96" s="8">
        <v>300</v>
      </c>
      <c r="I96" s="6"/>
      <c r="J96" s="9">
        <f>H96/$H$198</f>
        <v>8.4828739117215031E-4</v>
      </c>
      <c r="K96" s="6"/>
      <c r="L96" s="6"/>
      <c r="M96" s="7"/>
      <c r="N96" s="6"/>
      <c r="O96" s="8">
        <v>300</v>
      </c>
      <c r="P96" s="6"/>
      <c r="Q96" s="9">
        <f>O96/$O$198</f>
        <v>1.0118920590455208E-3</v>
      </c>
      <c r="R96" s="6"/>
      <c r="S96" s="7">
        <f>O96/12</f>
        <v>25</v>
      </c>
      <c r="T96" s="169">
        <v>300</v>
      </c>
      <c r="U96" s="8">
        <v>0</v>
      </c>
      <c r="V96" s="7"/>
      <c r="W96" s="6"/>
      <c r="X96" s="8">
        <v>300</v>
      </c>
      <c r="Y96" s="6"/>
      <c r="Z96" s="9">
        <f>X96/$X$198</f>
        <v>9.2982314763731934E-4</v>
      </c>
      <c r="AA96" s="6"/>
      <c r="AB96" s="7">
        <f>X96/12</f>
        <v>25</v>
      </c>
    </row>
    <row r="97" spans="1:28" s="4" customFormat="1" ht="15.75" outlineLevel="2" x14ac:dyDescent="0.25">
      <c r="A97" s="30" t="s">
        <v>24</v>
      </c>
      <c r="B97" s="6"/>
      <c r="C97" s="6" t="s">
        <v>25</v>
      </c>
      <c r="D97" s="6"/>
      <c r="E97" s="7">
        <v>7192.59</v>
      </c>
      <c r="F97" s="7">
        <f>(E97/10)*12</f>
        <v>8631.1080000000002</v>
      </c>
      <c r="G97" s="6"/>
      <c r="H97" s="8">
        <v>13000</v>
      </c>
      <c r="I97" s="6"/>
      <c r="J97" s="9">
        <f>H97/$H$198</f>
        <v>3.6759120284126513E-2</v>
      </c>
      <c r="K97" s="6"/>
      <c r="L97" s="6"/>
      <c r="M97" s="7"/>
      <c r="N97" s="6"/>
      <c r="O97" s="8">
        <v>15000</v>
      </c>
      <c r="P97" s="6"/>
      <c r="Q97" s="9">
        <f>O97/$O$198</f>
        <v>5.0594602952276031E-2</v>
      </c>
      <c r="R97" s="6"/>
      <c r="S97" s="7">
        <f>O97/12</f>
        <v>1250</v>
      </c>
      <c r="T97" s="169">
        <v>15000</v>
      </c>
      <c r="U97" s="8">
        <f>(1348.42/10)*12</f>
        <v>1618.1040000000003</v>
      </c>
      <c r="V97" s="7"/>
      <c r="W97" s="6"/>
      <c r="X97" s="8">
        <v>16000</v>
      </c>
      <c r="Y97" s="6"/>
      <c r="Z97" s="9">
        <f>X97/$X$198</f>
        <v>4.9590567873990368E-2</v>
      </c>
      <c r="AA97" s="6"/>
      <c r="AB97" s="7">
        <f>X97/12</f>
        <v>1333.3333333333333</v>
      </c>
    </row>
    <row r="98" spans="1:28" s="4" customFormat="1" ht="15.75" hidden="1" outlineLevel="2" x14ac:dyDescent="0.25">
      <c r="A98" s="30" t="s">
        <v>24</v>
      </c>
      <c r="B98" s="6"/>
      <c r="C98" s="6" t="s">
        <v>173</v>
      </c>
      <c r="D98" s="6"/>
      <c r="E98" s="7">
        <v>954.21</v>
      </c>
      <c r="F98" s="7">
        <f>(E98/10)*12</f>
        <v>1145.0520000000001</v>
      </c>
      <c r="G98" s="6"/>
      <c r="H98" s="8">
        <v>13000</v>
      </c>
      <c r="I98" s="6"/>
      <c r="J98" s="9">
        <f>H98/$H$198</f>
        <v>3.6759120284126513E-2</v>
      </c>
      <c r="K98" s="6"/>
      <c r="L98" s="6"/>
      <c r="M98" s="7"/>
      <c r="N98" s="6"/>
      <c r="O98" s="8">
        <v>2000</v>
      </c>
      <c r="P98" s="6"/>
      <c r="Q98" s="9">
        <f>O98/$O$198</f>
        <v>6.745947060303471E-3</v>
      </c>
      <c r="R98" s="6"/>
      <c r="S98" s="7">
        <f>O98/12</f>
        <v>166.66666666666666</v>
      </c>
      <c r="T98" s="169">
        <v>2000</v>
      </c>
      <c r="U98" s="8">
        <v>0</v>
      </c>
      <c r="V98" s="7"/>
      <c r="W98" s="6"/>
      <c r="X98" s="8">
        <v>0</v>
      </c>
      <c r="Y98" s="6"/>
      <c r="Z98" s="9">
        <f>X98/$X$198</f>
        <v>0</v>
      </c>
      <c r="AA98" s="6"/>
      <c r="AB98" s="7">
        <f>X98/12</f>
        <v>0</v>
      </c>
    </row>
    <row r="99" spans="1:28" s="4" customFormat="1" ht="15.75" outlineLevel="1" collapsed="1" x14ac:dyDescent="0.25">
      <c r="A99" s="21" t="s">
        <v>112</v>
      </c>
      <c r="B99" s="24"/>
      <c r="C99" s="62"/>
      <c r="D99" s="24"/>
      <c r="E99" s="35">
        <f>SUBTOTAL(9,E95:E98)</f>
        <v>8635.44</v>
      </c>
      <c r="F99" s="35">
        <f>SUBTOTAL(9,F95:F98)</f>
        <v>10362.528</v>
      </c>
      <c r="G99" s="24"/>
      <c r="H99" s="35">
        <f>SUBTOTAL(9,H95:H98)</f>
        <v>26300</v>
      </c>
      <c r="I99" s="24"/>
      <c r="J99" s="26">
        <f>SUBTOTAL(9,J95:J98)</f>
        <v>7.436652795942518E-2</v>
      </c>
      <c r="K99" s="24"/>
      <c r="L99" s="24"/>
      <c r="M99" s="25">
        <f>SUBTOTAL(9,M95:M98)</f>
        <v>0</v>
      </c>
      <c r="N99" s="24"/>
      <c r="O99" s="35">
        <f>SUBTOTAL(9,O95:O98)</f>
        <v>17300</v>
      </c>
      <c r="P99" s="24"/>
      <c r="Q99" s="26">
        <f>SUBTOTAL(9,Q95:Q98)</f>
        <v>5.8352442071625023E-2</v>
      </c>
      <c r="R99" s="24"/>
      <c r="S99" s="25">
        <f>SUBTOTAL(9,S95:S98)</f>
        <v>1441.6666666666667</v>
      </c>
      <c r="T99" s="170">
        <f>SUBTOTAL(9,T94:T98)</f>
        <v>17300</v>
      </c>
      <c r="U99" s="35">
        <f>SUM(U96:U98)</f>
        <v>1618.1040000000003</v>
      </c>
      <c r="V99" s="25">
        <f>SUBTOTAL(9,V95:V98)</f>
        <v>0</v>
      </c>
      <c r="W99" s="24"/>
      <c r="X99" s="35">
        <f>SUBTOTAL(9,X95:X98)</f>
        <v>16300</v>
      </c>
      <c r="Y99" s="24"/>
      <c r="Z99" s="26">
        <f>SUBTOTAL(9,Z95:Z98)</f>
        <v>5.0520391021627691E-2</v>
      </c>
      <c r="AA99" s="24"/>
      <c r="AB99" s="25">
        <f>SUBTOTAL(9,AB95:AB98)</f>
        <v>1358.3333333333333</v>
      </c>
    </row>
    <row r="100" spans="1:28" s="4" customFormat="1" ht="15.75" outlineLevel="1" x14ac:dyDescent="0.25">
      <c r="A100" s="6"/>
      <c r="B100" s="6"/>
      <c r="C100" s="61"/>
      <c r="D100" s="6"/>
      <c r="E100" s="7"/>
      <c r="F100" s="7"/>
      <c r="G100" s="6"/>
      <c r="H100" s="7"/>
      <c r="I100" s="6"/>
      <c r="J100" s="14"/>
      <c r="K100" s="6"/>
      <c r="L100" s="6"/>
      <c r="M100" s="7"/>
      <c r="N100" s="6"/>
      <c r="O100" s="7"/>
      <c r="P100" s="6"/>
      <c r="Q100" s="14"/>
      <c r="R100" s="6"/>
      <c r="S100" s="7">
        <f t="shared" ref="S100:S107" si="25">O100/12</f>
        <v>0</v>
      </c>
      <c r="T100" s="169"/>
      <c r="U100" s="8"/>
      <c r="V100" s="7"/>
      <c r="W100" s="6"/>
      <c r="X100" s="7"/>
      <c r="Y100" s="6"/>
      <c r="Z100" s="14"/>
      <c r="AA100" s="6"/>
      <c r="AB100" s="7">
        <f t="shared" ref="AB100:AB107" si="26">X100/12</f>
        <v>0</v>
      </c>
    </row>
    <row r="101" spans="1:28" s="4" customFormat="1" ht="15.75" outlineLevel="2" x14ac:dyDescent="0.25">
      <c r="A101" s="30" t="s">
        <v>26</v>
      </c>
      <c r="C101" s="5" t="s">
        <v>26</v>
      </c>
      <c r="D101" s="6"/>
      <c r="E101" s="7">
        <v>785</v>
      </c>
      <c r="F101" s="7"/>
      <c r="G101" s="6"/>
      <c r="H101" s="8"/>
      <c r="I101" s="6"/>
      <c r="J101" s="14"/>
      <c r="K101" s="6"/>
      <c r="L101" s="6"/>
      <c r="M101" s="7"/>
      <c r="N101" s="6"/>
      <c r="O101" s="8"/>
      <c r="P101" s="6"/>
      <c r="Q101" s="14"/>
      <c r="R101" s="6"/>
      <c r="S101" s="7">
        <f t="shared" si="25"/>
        <v>0</v>
      </c>
      <c r="T101" s="172"/>
      <c r="V101" s="7"/>
      <c r="W101" s="6"/>
      <c r="X101" s="8"/>
      <c r="Y101" s="6"/>
      <c r="Z101" s="14"/>
      <c r="AA101" s="6"/>
      <c r="AB101" s="7">
        <f t="shared" si="26"/>
        <v>0</v>
      </c>
    </row>
    <row r="102" spans="1:28" s="4" customFormat="1" ht="15.75" outlineLevel="2" x14ac:dyDescent="0.25">
      <c r="A102" s="30" t="s">
        <v>26</v>
      </c>
      <c r="B102" s="6"/>
      <c r="C102" s="61" t="s">
        <v>316</v>
      </c>
      <c r="D102" s="6"/>
      <c r="E102" s="7">
        <v>568.29</v>
      </c>
      <c r="F102" s="7">
        <f t="shared" ref="F102:F108" si="27">(E102/10)*12</f>
        <v>681.94799999999987</v>
      </c>
      <c r="G102" s="6"/>
      <c r="H102" s="8">
        <v>500</v>
      </c>
      <c r="I102" s="6"/>
      <c r="J102" s="9">
        <f t="shared" ref="J102:J108" si="28">H102/$H$198</f>
        <v>1.4138123186202504E-3</v>
      </c>
      <c r="K102" s="6"/>
      <c r="L102" s="6"/>
      <c r="M102" s="7"/>
      <c r="N102" s="6"/>
      <c r="O102" s="8">
        <v>500</v>
      </c>
      <c r="P102" s="6"/>
      <c r="Q102" s="9">
        <f t="shared" ref="Q102:Q108" si="29">O102/$O$198</f>
        <v>1.6864867650758677E-3</v>
      </c>
      <c r="R102" s="6"/>
      <c r="S102" s="7">
        <f t="shared" si="25"/>
        <v>41.666666666666664</v>
      </c>
      <c r="T102" s="169">
        <v>500</v>
      </c>
      <c r="U102" s="8">
        <f>(342.38/10)*12</f>
        <v>410.85599999999999</v>
      </c>
      <c r="V102" s="7"/>
      <c r="W102" s="6"/>
      <c r="X102" s="8">
        <v>500</v>
      </c>
      <c r="Y102" s="6"/>
      <c r="Z102" s="9">
        <f t="shared" ref="Z102:Z108" si="30">X102/$X$198</f>
        <v>1.549705246062199E-3</v>
      </c>
      <c r="AA102" s="6"/>
      <c r="AB102" s="7">
        <f t="shared" si="26"/>
        <v>41.666666666666664</v>
      </c>
    </row>
    <row r="103" spans="1:28" s="4" customFormat="1" ht="15.75" outlineLevel="2" x14ac:dyDescent="0.25">
      <c r="A103" s="30" t="s">
        <v>26</v>
      </c>
      <c r="B103" s="6"/>
      <c r="C103" s="61" t="s">
        <v>52</v>
      </c>
      <c r="D103" s="6"/>
      <c r="E103" s="7">
        <v>3848.73</v>
      </c>
      <c r="F103" s="7">
        <f t="shared" si="27"/>
        <v>4618.4759999999997</v>
      </c>
      <c r="G103" s="6"/>
      <c r="H103" s="8">
        <v>4500</v>
      </c>
      <c r="I103" s="6"/>
      <c r="J103" s="9">
        <f t="shared" si="28"/>
        <v>1.2724310867582253E-2</v>
      </c>
      <c r="K103" s="6"/>
      <c r="L103" s="6"/>
      <c r="M103" s="7"/>
      <c r="N103" s="6"/>
      <c r="O103" s="8">
        <v>4700</v>
      </c>
      <c r="P103" s="6"/>
      <c r="Q103" s="9">
        <f t="shared" si="29"/>
        <v>1.5852975591713156E-2</v>
      </c>
      <c r="R103" s="6"/>
      <c r="S103" s="7">
        <f t="shared" si="25"/>
        <v>391.66666666666669</v>
      </c>
      <c r="T103" s="169">
        <v>4700</v>
      </c>
      <c r="U103" s="8">
        <f>(4098.92/10)*12</f>
        <v>4918.7039999999997</v>
      </c>
      <c r="V103" s="7"/>
      <c r="W103" s="6"/>
      <c r="X103" s="8">
        <v>4900</v>
      </c>
      <c r="Y103" s="6"/>
      <c r="Z103" s="9">
        <f t="shared" si="30"/>
        <v>1.518711141140955E-2</v>
      </c>
      <c r="AA103" s="6"/>
      <c r="AB103" s="7">
        <f t="shared" si="26"/>
        <v>408.33333333333331</v>
      </c>
    </row>
    <row r="104" spans="1:28" s="4" customFormat="1" ht="15.75" outlineLevel="2" x14ac:dyDescent="0.25">
      <c r="A104" s="30" t="s">
        <v>26</v>
      </c>
      <c r="B104" s="6"/>
      <c r="C104" s="61" t="s">
        <v>53</v>
      </c>
      <c r="D104" s="6"/>
      <c r="E104" s="7">
        <v>1227.94</v>
      </c>
      <c r="F104" s="7">
        <f t="shared" si="27"/>
        <v>1473.5280000000002</v>
      </c>
      <c r="G104" s="6"/>
      <c r="H104" s="8">
        <v>2000</v>
      </c>
      <c r="I104" s="6"/>
      <c r="J104" s="9">
        <f t="shared" si="28"/>
        <v>5.6552492744810015E-3</v>
      </c>
      <c r="K104" s="6"/>
      <c r="L104" s="6"/>
      <c r="M104" s="7"/>
      <c r="N104" s="6"/>
      <c r="O104" s="8">
        <v>1200</v>
      </c>
      <c r="P104" s="6"/>
      <c r="Q104" s="9">
        <f t="shared" si="29"/>
        <v>4.0475682361820831E-3</v>
      </c>
      <c r="R104" s="6"/>
      <c r="S104" s="7">
        <f t="shared" si="25"/>
        <v>100</v>
      </c>
      <c r="T104" s="169">
        <v>1200</v>
      </c>
      <c r="U104" s="8">
        <f>(1489.11/10)*12</f>
        <v>1786.932</v>
      </c>
      <c r="V104" s="7"/>
      <c r="W104" s="6"/>
      <c r="X104" s="8">
        <v>1600</v>
      </c>
      <c r="Y104" s="6"/>
      <c r="Z104" s="9">
        <f t="shared" si="30"/>
        <v>4.9590567873990365E-3</v>
      </c>
      <c r="AA104" s="6"/>
      <c r="AB104" s="7">
        <f t="shared" si="26"/>
        <v>133.33333333333334</v>
      </c>
    </row>
    <row r="105" spans="1:28" s="4" customFormat="1" ht="15.75" outlineLevel="2" x14ac:dyDescent="0.25">
      <c r="A105" s="30" t="s">
        <v>26</v>
      </c>
      <c r="B105" s="6"/>
      <c r="C105" s="61" t="s">
        <v>54</v>
      </c>
      <c r="D105" s="6"/>
      <c r="E105" s="7">
        <v>3000</v>
      </c>
      <c r="F105" s="7">
        <f t="shared" si="27"/>
        <v>3600</v>
      </c>
      <c r="G105" s="6"/>
      <c r="H105" s="8">
        <v>3600</v>
      </c>
      <c r="I105" s="6"/>
      <c r="J105" s="9">
        <f t="shared" si="28"/>
        <v>1.0179448694065804E-2</v>
      </c>
      <c r="K105" s="6"/>
      <c r="L105" s="6"/>
      <c r="M105" s="12"/>
      <c r="N105" s="6"/>
      <c r="O105" s="8">
        <v>3600</v>
      </c>
      <c r="P105" s="6"/>
      <c r="Q105" s="9">
        <f t="shared" si="29"/>
        <v>1.2142704708546248E-2</v>
      </c>
      <c r="R105" s="6"/>
      <c r="S105" s="7">
        <f t="shared" si="25"/>
        <v>300</v>
      </c>
      <c r="T105" s="169">
        <v>3600</v>
      </c>
      <c r="U105" s="8">
        <f>(3000/10)*12</f>
        <v>3600</v>
      </c>
      <c r="V105" s="12"/>
      <c r="W105" s="6"/>
      <c r="X105" s="8">
        <v>3600</v>
      </c>
      <c r="Y105" s="6"/>
      <c r="Z105" s="9">
        <f t="shared" si="30"/>
        <v>1.1157877771647833E-2</v>
      </c>
      <c r="AA105" s="6"/>
      <c r="AB105" s="7">
        <f t="shared" si="26"/>
        <v>300</v>
      </c>
    </row>
    <row r="106" spans="1:28" s="4" customFormat="1" ht="15.75" outlineLevel="2" x14ac:dyDescent="0.25">
      <c r="A106" s="30" t="s">
        <v>26</v>
      </c>
      <c r="B106" s="6"/>
      <c r="C106" s="61" t="s">
        <v>55</v>
      </c>
      <c r="D106" s="6"/>
      <c r="E106" s="7">
        <v>1352.5</v>
      </c>
      <c r="F106" s="7">
        <f t="shared" si="27"/>
        <v>1623</v>
      </c>
      <c r="G106" s="6"/>
      <c r="H106" s="8">
        <v>2000</v>
      </c>
      <c r="I106" s="6"/>
      <c r="J106" s="9">
        <f t="shared" si="28"/>
        <v>5.6552492744810015E-3</v>
      </c>
      <c r="K106" s="6"/>
      <c r="L106" s="6"/>
      <c r="M106" s="7"/>
      <c r="N106" s="6"/>
      <c r="O106" s="8">
        <v>2000</v>
      </c>
      <c r="P106" s="6"/>
      <c r="Q106" s="9">
        <f t="shared" si="29"/>
        <v>6.745947060303471E-3</v>
      </c>
      <c r="R106" s="6"/>
      <c r="S106" s="7">
        <f t="shared" si="25"/>
        <v>166.66666666666666</v>
      </c>
      <c r="T106" s="169">
        <v>2000</v>
      </c>
      <c r="U106" s="8">
        <f>(1185/10)*12</f>
        <v>1422</v>
      </c>
      <c r="V106" s="7"/>
      <c r="W106" s="6"/>
      <c r="X106" s="8">
        <v>1500</v>
      </c>
      <c r="Y106" s="6"/>
      <c r="Z106" s="9">
        <f t="shared" si="30"/>
        <v>4.6491157381865966E-3</v>
      </c>
      <c r="AA106" s="6"/>
      <c r="AB106" s="7">
        <f t="shared" si="26"/>
        <v>125</v>
      </c>
    </row>
    <row r="107" spans="1:28" s="4" customFormat="1" ht="15.75" outlineLevel="2" x14ac:dyDescent="0.25">
      <c r="A107" s="30" t="s">
        <v>26</v>
      </c>
      <c r="B107" s="6"/>
      <c r="C107" s="61" t="s">
        <v>57</v>
      </c>
      <c r="D107" s="6"/>
      <c r="E107" s="7">
        <v>772.13</v>
      </c>
      <c r="F107" s="7">
        <f t="shared" si="27"/>
        <v>926.55599999999993</v>
      </c>
      <c r="G107" s="6"/>
      <c r="H107" s="8">
        <f>2400+1656.73</f>
        <v>4056.73</v>
      </c>
      <c r="I107" s="6"/>
      <c r="J107" s="152">
        <f t="shared" si="28"/>
        <v>1.1470909694632657E-2</v>
      </c>
      <c r="K107" s="6"/>
      <c r="L107" s="6"/>
      <c r="M107" s="7" t="s">
        <v>168</v>
      </c>
      <c r="N107" s="6"/>
      <c r="O107" s="8">
        <v>2000</v>
      </c>
      <c r="P107" s="6"/>
      <c r="Q107" s="9">
        <f t="shared" si="29"/>
        <v>6.745947060303471E-3</v>
      </c>
      <c r="R107" s="6"/>
      <c r="S107" s="7">
        <f t="shared" si="25"/>
        <v>166.66666666666666</v>
      </c>
      <c r="T107" s="169">
        <v>2000</v>
      </c>
      <c r="U107" s="8">
        <v>0</v>
      </c>
      <c r="V107" s="7" t="s">
        <v>168</v>
      </c>
      <c r="W107" s="6"/>
      <c r="X107" s="8">
        <v>2000</v>
      </c>
      <c r="Y107" s="6"/>
      <c r="Z107" s="9">
        <f t="shared" si="30"/>
        <v>6.198820984248796E-3</v>
      </c>
      <c r="AA107" s="6"/>
      <c r="AB107" s="7">
        <f t="shared" si="26"/>
        <v>166.66666666666666</v>
      </c>
    </row>
    <row r="108" spans="1:28" s="4" customFormat="1" ht="15.75" outlineLevel="2" x14ac:dyDescent="0.25">
      <c r="A108" s="30" t="s">
        <v>26</v>
      </c>
      <c r="B108" s="6"/>
      <c r="C108" s="61" t="s">
        <v>56</v>
      </c>
      <c r="D108" s="6"/>
      <c r="E108" s="7">
        <v>510</v>
      </c>
      <c r="F108" s="7">
        <f t="shared" si="27"/>
        <v>612</v>
      </c>
      <c r="G108" s="6"/>
      <c r="H108" s="8">
        <f>63*12</f>
        <v>756</v>
      </c>
      <c r="I108" s="6"/>
      <c r="J108" s="152">
        <f t="shared" si="28"/>
        <v>2.1376842257538188E-3</v>
      </c>
      <c r="K108" s="6"/>
      <c r="L108" s="6"/>
      <c r="M108" s="7" t="s">
        <v>162</v>
      </c>
      <c r="N108" s="6"/>
      <c r="O108" s="8">
        <f>63*12</f>
        <v>756</v>
      </c>
      <c r="P108" s="6"/>
      <c r="Q108" s="9">
        <f t="shared" si="29"/>
        <v>2.5499679887947121E-3</v>
      </c>
      <c r="R108" s="6"/>
      <c r="S108" s="7">
        <f>O108/12</f>
        <v>63</v>
      </c>
      <c r="T108" s="169">
        <f>63*12</f>
        <v>756</v>
      </c>
      <c r="U108" s="8">
        <f>(465/10)*12</f>
        <v>558</v>
      </c>
      <c r="V108" s="7" t="s">
        <v>162</v>
      </c>
      <c r="W108" s="6"/>
      <c r="X108" s="8">
        <f>63*12</f>
        <v>756</v>
      </c>
      <c r="Y108" s="6"/>
      <c r="Z108" s="9">
        <f t="shared" si="30"/>
        <v>2.3431543320460448E-3</v>
      </c>
      <c r="AA108" s="6"/>
      <c r="AB108" s="7">
        <f>X108/12</f>
        <v>63</v>
      </c>
    </row>
    <row r="109" spans="1:28" s="4" customFormat="1" ht="15.75" outlineLevel="1" x14ac:dyDescent="0.25">
      <c r="A109" s="21" t="s">
        <v>113</v>
      </c>
      <c r="B109" s="24"/>
      <c r="C109" s="62"/>
      <c r="D109" s="24"/>
      <c r="E109" s="35">
        <f>SUBTOTAL(9,E101:E108)</f>
        <v>12064.59</v>
      </c>
      <c r="F109" s="35">
        <f>SUBTOTAL(9,F101:F108)</f>
        <v>13535.508</v>
      </c>
      <c r="G109" s="24"/>
      <c r="H109" s="35">
        <f>SUBTOTAL(9,H101:H108)</f>
        <v>17412.73</v>
      </c>
      <c r="I109" s="24"/>
      <c r="J109" s="26">
        <f>SUBTOTAL(9,J101:J108)</f>
        <v>4.9236664349616786E-2</v>
      </c>
      <c r="K109" s="24"/>
      <c r="L109" s="24"/>
      <c r="M109" s="25">
        <f>SUBTOTAL(9,M101:M108)</f>
        <v>0</v>
      </c>
      <c r="N109" s="24"/>
      <c r="O109" s="35">
        <f>SUBTOTAL(9,O101:O108)</f>
        <v>14756</v>
      </c>
      <c r="P109" s="24"/>
      <c r="Q109" s="26">
        <f>SUBTOTAL(9,Q101:Q108)</f>
        <v>4.9771597410919015E-2</v>
      </c>
      <c r="R109" s="24"/>
      <c r="S109" s="25">
        <f>SUBTOTAL(9,S101:S108)</f>
        <v>1229.6666666666667</v>
      </c>
      <c r="T109" s="170">
        <f>SUBTOTAL(9,T100:T108)</f>
        <v>14756</v>
      </c>
      <c r="U109" s="35">
        <f>SUM(U102:U108)</f>
        <v>12696.491999999998</v>
      </c>
      <c r="V109" s="25">
        <f>SUBTOTAL(9,V101:V108)</f>
        <v>0</v>
      </c>
      <c r="W109" s="24"/>
      <c r="X109" s="35">
        <f>SUBTOTAL(9,X101:X108)</f>
        <v>14856</v>
      </c>
      <c r="Y109" s="24"/>
      <c r="Z109" s="26">
        <f>SUBTOTAL(9,Z101:Z108)</f>
        <v>4.6044842271000051E-2</v>
      </c>
      <c r="AA109" s="24"/>
      <c r="AB109" s="25">
        <f>SUBTOTAL(9,AB101:AB108)</f>
        <v>1238</v>
      </c>
    </row>
    <row r="110" spans="1:28" s="4" customFormat="1" ht="15.75" outlineLevel="1" x14ac:dyDescent="0.25">
      <c r="A110" s="5"/>
      <c r="B110" s="6"/>
      <c r="C110" s="61"/>
      <c r="D110" s="6"/>
      <c r="E110" s="7"/>
      <c r="F110" s="7"/>
      <c r="G110" s="6"/>
      <c r="H110" s="8"/>
      <c r="I110" s="6"/>
      <c r="J110" s="9"/>
      <c r="K110" s="6"/>
      <c r="L110" s="6"/>
      <c r="M110" s="7"/>
      <c r="N110" s="6"/>
      <c r="O110" s="8"/>
      <c r="P110" s="6"/>
      <c r="Q110" s="9"/>
      <c r="R110" s="6"/>
      <c r="S110" s="7"/>
      <c r="T110" s="169"/>
      <c r="U110" s="8"/>
      <c r="V110" s="7"/>
      <c r="W110" s="6"/>
      <c r="X110" s="8"/>
      <c r="Y110" s="6"/>
      <c r="Z110" s="9"/>
      <c r="AA110" s="6"/>
      <c r="AB110" s="7"/>
    </row>
    <row r="111" spans="1:28" s="4" customFormat="1" ht="15.75" outlineLevel="2" x14ac:dyDescent="0.25">
      <c r="A111" s="30" t="s">
        <v>27</v>
      </c>
      <c r="C111" s="60" t="s">
        <v>27</v>
      </c>
      <c r="D111" s="6"/>
      <c r="E111" s="7"/>
      <c r="F111" s="7"/>
      <c r="G111" s="6"/>
      <c r="H111" s="8"/>
      <c r="I111" s="6"/>
      <c r="J111" s="14"/>
      <c r="K111" s="6"/>
      <c r="L111" s="6"/>
      <c r="M111" s="7"/>
      <c r="N111" s="6"/>
      <c r="O111" s="8"/>
      <c r="P111" s="6"/>
      <c r="Q111" s="14"/>
      <c r="R111" s="6"/>
      <c r="S111" s="7">
        <f t="shared" ref="S111:S122" si="31">O111/12</f>
        <v>0</v>
      </c>
      <c r="T111" s="172"/>
      <c r="V111" s="7"/>
      <c r="W111" s="6"/>
      <c r="X111" s="8"/>
      <c r="Y111" s="6"/>
      <c r="Z111" s="14"/>
      <c r="AA111" s="6"/>
      <c r="AB111" s="7">
        <f t="shared" ref="AB111:AB122" si="32">X111/12</f>
        <v>0</v>
      </c>
    </row>
    <row r="112" spans="1:28" s="4" customFormat="1" ht="15.75" outlineLevel="2" x14ac:dyDescent="0.25">
      <c r="A112" s="30" t="s">
        <v>27</v>
      </c>
      <c r="B112" s="5"/>
      <c r="C112" s="6" t="s">
        <v>59</v>
      </c>
      <c r="D112" s="6"/>
      <c r="E112" s="7">
        <v>5300</v>
      </c>
      <c r="F112" s="7">
        <f t="shared" ref="F112:F122" si="33">(E112/10)*12</f>
        <v>6360</v>
      </c>
      <c r="G112" s="6"/>
      <c r="H112" s="8">
        <v>6000</v>
      </c>
      <c r="I112" s="6"/>
      <c r="J112" s="9">
        <f t="shared" ref="J112:J118" si="34">H112/$H$198</f>
        <v>1.6965747823443005E-2</v>
      </c>
      <c r="K112" s="6"/>
      <c r="L112" s="6"/>
      <c r="M112" s="7"/>
      <c r="N112" s="6"/>
      <c r="O112" s="8">
        <f>500*12</f>
        <v>6000</v>
      </c>
      <c r="P112" s="6"/>
      <c r="Q112" s="9">
        <f t="shared" ref="Q112:Q122" si="35">O112/$O$198</f>
        <v>2.0237841180910415E-2</v>
      </c>
      <c r="R112" s="6"/>
      <c r="S112" s="7">
        <f t="shared" si="31"/>
        <v>500</v>
      </c>
      <c r="T112" s="169">
        <f>500*12</f>
        <v>6000</v>
      </c>
      <c r="U112" s="8">
        <f>(4850/10)*12</f>
        <v>5820</v>
      </c>
      <c r="V112" s="7" t="s">
        <v>317</v>
      </c>
      <c r="W112" s="6"/>
      <c r="X112" s="8">
        <f>500*12</f>
        <v>6000</v>
      </c>
      <c r="Y112" s="6"/>
      <c r="Z112" s="9">
        <f t="shared" ref="Z112:Z122" si="36">X112/$X$198</f>
        <v>1.8596462952746386E-2</v>
      </c>
      <c r="AA112" s="6"/>
      <c r="AB112" s="7">
        <f t="shared" si="32"/>
        <v>500</v>
      </c>
    </row>
    <row r="113" spans="1:28" s="4" customFormat="1" ht="15.75" outlineLevel="2" x14ac:dyDescent="0.25">
      <c r="A113" s="30" t="s">
        <v>27</v>
      </c>
      <c r="B113" s="5"/>
      <c r="C113" s="6" t="s">
        <v>60</v>
      </c>
      <c r="D113" s="6"/>
      <c r="E113" s="7">
        <v>2512.67</v>
      </c>
      <c r="F113" s="7">
        <f t="shared" si="33"/>
        <v>3015.2039999999997</v>
      </c>
      <c r="G113" s="6"/>
      <c r="H113" s="8">
        <v>2500</v>
      </c>
      <c r="I113" s="6"/>
      <c r="J113" s="9">
        <f t="shared" si="34"/>
        <v>7.0690615931012519E-3</v>
      </c>
      <c r="K113" s="6"/>
      <c r="L113" s="6"/>
      <c r="M113" s="11" t="s">
        <v>161</v>
      </c>
      <c r="N113" s="6"/>
      <c r="O113" s="8">
        <f>280*12</f>
        <v>3360</v>
      </c>
      <c r="P113" s="6"/>
      <c r="Q113" s="9">
        <f t="shared" si="35"/>
        <v>1.1333191061309832E-2</v>
      </c>
      <c r="R113" s="6"/>
      <c r="S113" s="7">
        <f t="shared" si="31"/>
        <v>280</v>
      </c>
      <c r="T113" s="169">
        <f>280*12</f>
        <v>3360</v>
      </c>
      <c r="U113" s="8">
        <f>(1344.7/10)*12</f>
        <v>1613.6399999999999</v>
      </c>
      <c r="V113" s="11" t="s">
        <v>161</v>
      </c>
      <c r="W113" s="6"/>
      <c r="X113" s="8">
        <f>280*12</f>
        <v>3360</v>
      </c>
      <c r="Y113" s="6"/>
      <c r="Z113" s="9">
        <f t="shared" si="36"/>
        <v>1.0414019253537977E-2</v>
      </c>
      <c r="AA113" s="6"/>
      <c r="AB113" s="7">
        <f t="shared" si="32"/>
        <v>280</v>
      </c>
    </row>
    <row r="114" spans="1:28" s="4" customFormat="1" ht="15.75" outlineLevel="2" x14ac:dyDescent="0.25">
      <c r="A114" s="30" t="s">
        <v>27</v>
      </c>
      <c r="B114" s="5"/>
      <c r="C114" s="6" t="s">
        <v>98</v>
      </c>
      <c r="D114" s="6"/>
      <c r="E114" s="7">
        <v>0</v>
      </c>
      <c r="F114" s="7">
        <f t="shared" si="33"/>
        <v>0</v>
      </c>
      <c r="G114" s="6"/>
      <c r="H114" s="8">
        <v>700</v>
      </c>
      <c r="I114" s="6"/>
      <c r="J114" s="9">
        <f t="shared" si="34"/>
        <v>1.9793372460683504E-3</v>
      </c>
      <c r="K114" s="6"/>
      <c r="L114" s="6"/>
      <c r="M114" s="7"/>
      <c r="N114" s="6"/>
      <c r="O114" s="8">
        <v>700</v>
      </c>
      <c r="P114" s="6"/>
      <c r="Q114" s="9">
        <f t="shared" si="35"/>
        <v>2.3610814711062149E-3</v>
      </c>
      <c r="R114" s="6"/>
      <c r="S114" s="7">
        <f t="shared" si="31"/>
        <v>58.333333333333336</v>
      </c>
      <c r="T114" s="169">
        <v>700</v>
      </c>
      <c r="U114" s="8">
        <f>(134.06/10)*12</f>
        <v>160.87200000000001</v>
      </c>
      <c r="V114" s="7"/>
      <c r="W114" s="6"/>
      <c r="X114" s="8">
        <v>700</v>
      </c>
      <c r="Y114" s="6"/>
      <c r="Z114" s="9">
        <f t="shared" si="36"/>
        <v>2.1695873444870784E-3</v>
      </c>
      <c r="AA114" s="6"/>
      <c r="AB114" s="7">
        <f t="shared" si="32"/>
        <v>58.333333333333336</v>
      </c>
    </row>
    <row r="115" spans="1:28" s="4" customFormat="1" ht="15.75" outlineLevel="2" x14ac:dyDescent="0.25">
      <c r="A115" s="30" t="s">
        <v>27</v>
      </c>
      <c r="B115" s="5"/>
      <c r="C115" s="6" t="s">
        <v>61</v>
      </c>
      <c r="D115" s="6"/>
      <c r="E115" s="7">
        <v>4259</v>
      </c>
      <c r="F115" s="7">
        <f t="shared" si="33"/>
        <v>5110.7999999999993</v>
      </c>
      <c r="G115" s="6"/>
      <c r="H115" s="8">
        <v>4000</v>
      </c>
      <c r="I115" s="6"/>
      <c r="J115" s="9">
        <f t="shared" si="34"/>
        <v>1.1310498548962003E-2</v>
      </c>
      <c r="K115" s="6"/>
      <c r="L115" s="6"/>
      <c r="M115" s="7"/>
      <c r="N115" s="6"/>
      <c r="O115" s="8">
        <v>5500</v>
      </c>
      <c r="P115" s="6"/>
      <c r="Q115" s="9">
        <f t="shared" si="35"/>
        <v>1.8551354415834546E-2</v>
      </c>
      <c r="R115" s="6"/>
      <c r="S115" s="7">
        <f t="shared" si="31"/>
        <v>458.33333333333331</v>
      </c>
      <c r="T115" s="169">
        <v>5500</v>
      </c>
      <c r="U115" s="8">
        <f>(3896.45/10)*12</f>
        <v>4675.74</v>
      </c>
      <c r="V115" s="7"/>
      <c r="W115" s="6"/>
      <c r="X115" s="8">
        <v>5500</v>
      </c>
      <c r="Y115" s="6"/>
      <c r="Z115" s="9">
        <f t="shared" si="36"/>
        <v>1.704675770668419E-2</v>
      </c>
      <c r="AA115" s="6"/>
      <c r="AB115" s="7">
        <f t="shared" si="32"/>
        <v>458.33333333333331</v>
      </c>
    </row>
    <row r="116" spans="1:28" s="4" customFormat="1" ht="15.75" outlineLevel="2" x14ac:dyDescent="0.25">
      <c r="A116" s="30" t="s">
        <v>27</v>
      </c>
      <c r="B116" s="6"/>
      <c r="C116" s="61" t="s">
        <v>62</v>
      </c>
      <c r="D116" s="6"/>
      <c r="E116" s="7">
        <v>60.75</v>
      </c>
      <c r="F116" s="7">
        <f t="shared" si="33"/>
        <v>72.900000000000006</v>
      </c>
      <c r="G116" s="6"/>
      <c r="H116" s="8">
        <v>900</v>
      </c>
      <c r="I116" s="6"/>
      <c r="J116" s="9">
        <f t="shared" si="34"/>
        <v>2.5448621735164509E-3</v>
      </c>
      <c r="K116" s="6"/>
      <c r="L116" s="6"/>
      <c r="M116" s="7"/>
      <c r="N116" s="6"/>
      <c r="O116" s="8">
        <v>500</v>
      </c>
      <c r="P116" s="6"/>
      <c r="Q116" s="9">
        <f t="shared" si="35"/>
        <v>1.6864867650758677E-3</v>
      </c>
      <c r="R116" s="6"/>
      <c r="S116" s="7">
        <f t="shared" si="31"/>
        <v>41.666666666666664</v>
      </c>
      <c r="T116" s="169">
        <v>500</v>
      </c>
      <c r="U116" s="8">
        <v>0</v>
      </c>
      <c r="V116" s="7"/>
      <c r="W116" s="6"/>
      <c r="X116" s="8">
        <v>500</v>
      </c>
      <c r="Y116" s="6"/>
      <c r="Z116" s="9">
        <f t="shared" si="36"/>
        <v>1.549705246062199E-3</v>
      </c>
      <c r="AA116" s="6"/>
      <c r="AB116" s="7">
        <f t="shared" si="32"/>
        <v>41.666666666666664</v>
      </c>
    </row>
    <row r="117" spans="1:28" s="4" customFormat="1" ht="15.75" outlineLevel="2" x14ac:dyDescent="0.25">
      <c r="A117" s="30" t="s">
        <v>27</v>
      </c>
      <c r="B117" s="6"/>
      <c r="C117" s="61" t="s">
        <v>63</v>
      </c>
      <c r="D117" s="6"/>
      <c r="E117" s="7">
        <v>13.77</v>
      </c>
      <c r="F117" s="7">
        <f t="shared" si="33"/>
        <v>16.524000000000001</v>
      </c>
      <c r="G117" s="6"/>
      <c r="H117" s="8">
        <v>200</v>
      </c>
      <c r="I117" s="6"/>
      <c r="J117" s="9">
        <f t="shared" si="34"/>
        <v>5.6552492744810017E-4</v>
      </c>
      <c r="K117" s="6"/>
      <c r="L117" s="6"/>
      <c r="M117" s="7"/>
      <c r="N117" s="6"/>
      <c r="O117" s="8">
        <v>200</v>
      </c>
      <c r="P117" s="6"/>
      <c r="Q117" s="9">
        <f t="shared" si="35"/>
        <v>6.7459470603034707E-4</v>
      </c>
      <c r="R117" s="6"/>
      <c r="S117" s="7">
        <f t="shared" si="31"/>
        <v>16.666666666666668</v>
      </c>
      <c r="T117" s="169">
        <v>200</v>
      </c>
      <c r="U117" s="8">
        <v>0</v>
      </c>
      <c r="V117" s="7"/>
      <c r="W117" s="6"/>
      <c r="X117" s="8">
        <v>200</v>
      </c>
      <c r="Y117" s="6"/>
      <c r="Z117" s="9">
        <f t="shared" si="36"/>
        <v>6.1988209842487956E-4</v>
      </c>
      <c r="AA117" s="6"/>
      <c r="AB117" s="7">
        <f t="shared" si="32"/>
        <v>16.666666666666668</v>
      </c>
    </row>
    <row r="118" spans="1:28" s="4" customFormat="1" ht="15.75" outlineLevel="2" x14ac:dyDescent="0.25">
      <c r="A118" s="30" t="s">
        <v>27</v>
      </c>
      <c r="B118" s="72"/>
      <c r="C118" s="59" t="s">
        <v>64</v>
      </c>
      <c r="D118" s="6"/>
      <c r="E118" s="7">
        <v>0</v>
      </c>
      <c r="F118" s="7">
        <f t="shared" si="33"/>
        <v>0</v>
      </c>
      <c r="G118" s="6"/>
      <c r="H118" s="8"/>
      <c r="I118" s="6"/>
      <c r="J118" s="9">
        <f t="shared" si="34"/>
        <v>0</v>
      </c>
      <c r="K118" s="6"/>
      <c r="L118" s="6"/>
      <c r="M118" s="7"/>
      <c r="N118" s="6"/>
      <c r="O118" s="8"/>
      <c r="P118" s="6"/>
      <c r="Q118" s="9">
        <f t="shared" si="35"/>
        <v>0</v>
      </c>
      <c r="R118" s="6"/>
      <c r="S118" s="7">
        <f t="shared" si="31"/>
        <v>0</v>
      </c>
      <c r="T118" s="169"/>
      <c r="U118" s="8">
        <v>0</v>
      </c>
      <c r="V118" s="7"/>
      <c r="W118" s="6"/>
      <c r="X118" s="8"/>
      <c r="Y118" s="6"/>
      <c r="Z118" s="9">
        <f t="shared" si="36"/>
        <v>0</v>
      </c>
      <c r="AA118" s="6"/>
      <c r="AB118" s="7">
        <f t="shared" si="32"/>
        <v>0</v>
      </c>
    </row>
    <row r="119" spans="1:28" s="4" customFormat="1" ht="15.75" outlineLevel="2" x14ac:dyDescent="0.25">
      <c r="A119" s="30"/>
      <c r="B119" s="72"/>
      <c r="C119" s="59" t="s">
        <v>131</v>
      </c>
      <c r="D119" s="6"/>
      <c r="E119" s="7">
        <v>0</v>
      </c>
      <c r="F119" s="7">
        <f t="shared" si="33"/>
        <v>0</v>
      </c>
      <c r="G119" s="6"/>
      <c r="H119" s="8"/>
      <c r="I119" s="6"/>
      <c r="J119" s="9"/>
      <c r="K119" s="6"/>
      <c r="L119" s="6"/>
      <c r="M119" s="7"/>
      <c r="N119" s="6"/>
      <c r="O119" s="8"/>
      <c r="P119" s="6"/>
      <c r="Q119" s="9">
        <f t="shared" si="35"/>
        <v>0</v>
      </c>
      <c r="R119" s="6"/>
      <c r="S119" s="7">
        <f t="shared" si="31"/>
        <v>0</v>
      </c>
      <c r="T119" s="169"/>
      <c r="U119" s="8">
        <f>(2400/10)*12</f>
        <v>2880</v>
      </c>
      <c r="V119" s="7"/>
      <c r="W119" s="6"/>
      <c r="X119" s="8"/>
      <c r="Y119" s="6"/>
      <c r="Z119" s="9">
        <f t="shared" si="36"/>
        <v>0</v>
      </c>
      <c r="AA119" s="6"/>
      <c r="AB119" s="7">
        <f t="shared" si="32"/>
        <v>0</v>
      </c>
    </row>
    <row r="120" spans="1:28" s="4" customFormat="1" ht="15.75" outlineLevel="2" x14ac:dyDescent="0.25">
      <c r="A120" s="30"/>
      <c r="B120" s="72"/>
      <c r="C120" s="61" t="s">
        <v>135</v>
      </c>
      <c r="D120" s="6"/>
      <c r="E120" s="7">
        <v>209.97</v>
      </c>
      <c r="F120" s="7">
        <f t="shared" si="33"/>
        <v>251.964</v>
      </c>
      <c r="G120" s="6"/>
      <c r="H120" s="8">
        <v>200</v>
      </c>
      <c r="I120" s="6"/>
      <c r="J120" s="9"/>
      <c r="K120" s="6"/>
      <c r="L120" s="6"/>
      <c r="M120" s="7" t="s">
        <v>160</v>
      </c>
      <c r="N120" s="6"/>
      <c r="O120" s="8">
        <v>300</v>
      </c>
      <c r="P120" s="6"/>
      <c r="Q120" s="9">
        <f t="shared" si="35"/>
        <v>1.0118920590455208E-3</v>
      </c>
      <c r="R120" s="6"/>
      <c r="S120" s="7">
        <f t="shared" si="31"/>
        <v>25</v>
      </c>
      <c r="T120" s="169">
        <v>300</v>
      </c>
      <c r="U120" s="8">
        <v>0</v>
      </c>
      <c r="V120" s="7"/>
      <c r="W120" s="6"/>
      <c r="X120" s="8">
        <v>300</v>
      </c>
      <c r="Y120" s="6"/>
      <c r="Z120" s="9">
        <f t="shared" si="36"/>
        <v>9.2982314763731934E-4</v>
      </c>
      <c r="AA120" s="6"/>
      <c r="AB120" s="7">
        <f t="shared" si="32"/>
        <v>25</v>
      </c>
    </row>
    <row r="121" spans="1:28" s="4" customFormat="1" ht="15.75" outlineLevel="2" x14ac:dyDescent="0.25">
      <c r="A121" s="30" t="s">
        <v>27</v>
      </c>
      <c r="B121" s="34"/>
      <c r="C121" s="61" t="s">
        <v>65</v>
      </c>
      <c r="D121" s="6"/>
      <c r="E121" s="7">
        <v>1490.79</v>
      </c>
      <c r="F121" s="7">
        <f t="shared" si="33"/>
        <v>1788.9480000000001</v>
      </c>
      <c r="G121" s="6"/>
      <c r="H121" s="8">
        <v>2500</v>
      </c>
      <c r="I121" s="6"/>
      <c r="J121" s="9">
        <f>H121/$H$198</f>
        <v>7.0690615931012519E-3</v>
      </c>
      <c r="K121" s="6"/>
      <c r="L121" s="6"/>
      <c r="M121" s="7"/>
      <c r="N121" s="6"/>
      <c r="O121" s="8">
        <v>2000</v>
      </c>
      <c r="P121" s="6"/>
      <c r="Q121" s="9">
        <f t="shared" si="35"/>
        <v>6.745947060303471E-3</v>
      </c>
      <c r="R121" s="6"/>
      <c r="S121" s="7">
        <f t="shared" si="31"/>
        <v>166.66666666666666</v>
      </c>
      <c r="T121" s="169">
        <v>2000</v>
      </c>
      <c r="U121" s="8">
        <f>(868.16/10)*12</f>
        <v>1041.7919999999999</v>
      </c>
      <c r="V121" s="7"/>
      <c r="W121" s="6"/>
      <c r="X121" s="8">
        <v>2000</v>
      </c>
      <c r="Y121" s="6"/>
      <c r="Z121" s="9">
        <f t="shared" si="36"/>
        <v>6.198820984248796E-3</v>
      </c>
      <c r="AA121" s="6"/>
      <c r="AB121" s="7">
        <f t="shared" si="32"/>
        <v>166.66666666666666</v>
      </c>
    </row>
    <row r="122" spans="1:28" s="4" customFormat="1" ht="15.75" outlineLevel="2" x14ac:dyDescent="0.25">
      <c r="A122" s="30" t="s">
        <v>27</v>
      </c>
      <c r="B122" s="72"/>
      <c r="C122" s="61" t="s">
        <v>66</v>
      </c>
      <c r="D122" s="6"/>
      <c r="E122" s="7">
        <v>545</v>
      </c>
      <c r="F122" s="7">
        <f t="shared" si="33"/>
        <v>654</v>
      </c>
      <c r="G122" s="6"/>
      <c r="H122" s="8">
        <v>500</v>
      </c>
      <c r="I122" s="6"/>
      <c r="J122" s="9">
        <f>H122/$H$198</f>
        <v>1.4138123186202504E-3</v>
      </c>
      <c r="K122" s="6"/>
      <c r="L122" s="6"/>
      <c r="M122" s="7"/>
      <c r="N122" s="6"/>
      <c r="O122" s="8">
        <v>700</v>
      </c>
      <c r="P122" s="6"/>
      <c r="Q122" s="9">
        <f t="shared" si="35"/>
        <v>2.3610814711062149E-3</v>
      </c>
      <c r="R122" s="6"/>
      <c r="S122" s="7">
        <f t="shared" si="31"/>
        <v>58.333333333333336</v>
      </c>
      <c r="T122" s="169">
        <v>700</v>
      </c>
      <c r="U122" s="8">
        <f>(746/10)*12</f>
        <v>895.19999999999993</v>
      </c>
      <c r="V122" s="7"/>
      <c r="W122" s="6"/>
      <c r="X122" s="8">
        <v>900</v>
      </c>
      <c r="Y122" s="6"/>
      <c r="Z122" s="9">
        <f t="shared" si="36"/>
        <v>2.7894694429119581E-3</v>
      </c>
      <c r="AA122" s="6"/>
      <c r="AB122" s="7">
        <f t="shared" si="32"/>
        <v>75</v>
      </c>
    </row>
    <row r="123" spans="1:28" s="4" customFormat="1" ht="15.75" outlineLevel="1" x14ac:dyDescent="0.25">
      <c r="A123" s="21" t="s">
        <v>114</v>
      </c>
      <c r="B123" s="23"/>
      <c r="C123" s="62"/>
      <c r="D123" s="24"/>
      <c r="E123" s="35">
        <f>SUBTOTAL(9,E111:E122)</f>
        <v>14391.95</v>
      </c>
      <c r="F123" s="35">
        <f>SUBTOTAL(9,F111:F122)</f>
        <v>17270.339999999997</v>
      </c>
      <c r="G123" s="24"/>
      <c r="H123" s="35">
        <f>SUBTOTAL(9,H111:H122)</f>
        <v>17500</v>
      </c>
      <c r="I123" s="24"/>
      <c r="J123" s="26">
        <f>SUBTOTAL(9,J111:J122)</f>
        <v>4.8917906224260663E-2</v>
      </c>
      <c r="K123" s="24"/>
      <c r="L123" s="24"/>
      <c r="M123" s="25">
        <f>SUBTOTAL(9,M111:M122)</f>
        <v>0</v>
      </c>
      <c r="N123" s="24"/>
      <c r="O123" s="35">
        <f>SUBTOTAL(9,O111:O122)</f>
        <v>19260</v>
      </c>
      <c r="P123" s="24"/>
      <c r="Q123" s="26">
        <f>SUBTOTAL(9,Q111:Q122)</f>
        <v>6.4963470190722419E-2</v>
      </c>
      <c r="R123" s="24"/>
      <c r="S123" s="25">
        <f>SUBTOTAL(9,S111:S122)</f>
        <v>1605.0000000000002</v>
      </c>
      <c r="T123" s="170">
        <f>SUBTOTAL(9,T110:T122)</f>
        <v>19260</v>
      </c>
      <c r="U123" s="35">
        <f>SUM(U112:U122)</f>
        <v>17087.243999999999</v>
      </c>
      <c r="V123" s="25">
        <f>SUBTOTAL(9,V111:V122)</f>
        <v>0</v>
      </c>
      <c r="W123" s="24"/>
      <c r="X123" s="35">
        <f>SUBTOTAL(9,X111:X122)</f>
        <v>19460</v>
      </c>
      <c r="Y123" s="24"/>
      <c r="Z123" s="26">
        <f>SUBTOTAL(9,Z111:Z122)</f>
        <v>6.0314528176740781E-2</v>
      </c>
      <c r="AA123" s="24"/>
      <c r="AB123" s="25">
        <f>SUBTOTAL(9,AB111:AB122)</f>
        <v>1621.666666666667</v>
      </c>
    </row>
    <row r="124" spans="1:28" s="4" customFormat="1" ht="15.75" outlineLevel="1" x14ac:dyDescent="0.25">
      <c r="A124" s="6"/>
      <c r="B124" s="6"/>
      <c r="C124" s="61"/>
      <c r="D124" s="6"/>
      <c r="E124" s="7"/>
      <c r="F124" s="7"/>
      <c r="G124" s="6"/>
      <c r="H124" s="7"/>
      <c r="I124" s="6"/>
      <c r="J124" s="17"/>
      <c r="K124" s="6"/>
      <c r="L124" s="6"/>
      <c r="M124" s="7"/>
      <c r="N124" s="6"/>
      <c r="O124" s="7"/>
      <c r="P124" s="6"/>
      <c r="Q124" s="17"/>
      <c r="R124" s="6"/>
      <c r="S124" s="7"/>
      <c r="T124" s="169"/>
      <c r="U124" s="8"/>
      <c r="V124" s="7"/>
      <c r="W124" s="6"/>
      <c r="X124" s="7"/>
      <c r="Y124" s="6"/>
      <c r="Z124" s="17"/>
      <c r="AA124" s="6"/>
      <c r="AB124" s="7"/>
    </row>
    <row r="125" spans="1:28" s="4" customFormat="1" ht="15.75" outlineLevel="2" x14ac:dyDescent="0.25">
      <c r="A125" s="6"/>
      <c r="B125" s="5"/>
      <c r="C125" s="60"/>
      <c r="D125" s="6"/>
      <c r="E125" s="7"/>
      <c r="F125" s="7"/>
      <c r="G125" s="6"/>
      <c r="H125" s="8"/>
      <c r="I125" s="6"/>
      <c r="J125" s="17"/>
      <c r="K125" s="6"/>
      <c r="L125" s="6"/>
      <c r="M125" s="7"/>
      <c r="N125" s="6"/>
      <c r="O125" s="8"/>
      <c r="P125" s="6"/>
      <c r="Q125" s="17"/>
      <c r="R125" s="6"/>
      <c r="S125" s="7"/>
      <c r="T125" s="172"/>
      <c r="V125" s="7"/>
      <c r="W125" s="6"/>
      <c r="X125" s="8"/>
      <c r="Y125" s="6"/>
      <c r="Z125" s="17"/>
      <c r="AA125" s="6"/>
      <c r="AB125" s="7"/>
    </row>
    <row r="126" spans="1:28" s="4" customFormat="1" ht="15.75" outlineLevel="1" x14ac:dyDescent="0.25">
      <c r="A126" s="48" t="s">
        <v>115</v>
      </c>
      <c r="B126" s="49"/>
      <c r="C126" s="66"/>
      <c r="D126" s="50"/>
      <c r="E126" s="53">
        <f>SUBTOTAL(9,E94:E125)</f>
        <v>35091.980000000003</v>
      </c>
      <c r="F126" s="53">
        <f>SUBTOTAL(9,F94:F125)</f>
        <v>41168.376000000004</v>
      </c>
      <c r="G126" s="50"/>
      <c r="H126" s="53">
        <f>SUBTOTAL(9,H94:H125)</f>
        <v>61212.73</v>
      </c>
      <c r="I126" s="50"/>
      <c r="J126" s="52">
        <f>H126/H198</f>
        <v>0.17308662346075074</v>
      </c>
      <c r="K126" s="50"/>
      <c r="L126" s="24"/>
      <c r="M126" s="51">
        <f>SUBTOTAL(9,M125:M125)</f>
        <v>0</v>
      </c>
      <c r="N126" s="50"/>
      <c r="O126" s="53">
        <f>SUBTOTAL(9,O94:O125)</f>
        <v>51316</v>
      </c>
      <c r="P126" s="50"/>
      <c r="Q126" s="52">
        <f>O126/$O$198</f>
        <v>0.17308750967326647</v>
      </c>
      <c r="R126" s="50"/>
      <c r="S126" s="51">
        <f>SUBTOTAL(9,S68:S125)</f>
        <v>21096.405833333341</v>
      </c>
      <c r="T126" s="170">
        <f>SUBTOTAL(9,T93:T124)</f>
        <v>51316</v>
      </c>
      <c r="U126" s="35">
        <f>U123+U109+U99</f>
        <v>31401.839999999997</v>
      </c>
      <c r="V126" s="51">
        <f>SUBTOTAL(9,V125:V125)</f>
        <v>0</v>
      </c>
      <c r="W126" s="50"/>
      <c r="X126" s="53">
        <f>SUBTOTAL(9,X94:X125)</f>
        <v>50616</v>
      </c>
      <c r="Y126" s="50"/>
      <c r="Z126" s="52">
        <f>X126/$X$198</f>
        <v>0.15687976146936852</v>
      </c>
      <c r="AA126" s="50"/>
      <c r="AB126" s="51">
        <f>SUBTOTAL(9,AB68:AB125)</f>
        <v>19919.666666666668</v>
      </c>
    </row>
    <row r="127" spans="1:28" s="4" customFormat="1" ht="15.75" outlineLevel="1" x14ac:dyDescent="0.25">
      <c r="A127" s="6"/>
      <c r="B127" s="6"/>
      <c r="C127" s="61"/>
      <c r="D127" s="6"/>
      <c r="E127" s="7"/>
      <c r="F127" s="7"/>
      <c r="G127" s="6"/>
      <c r="H127" s="7"/>
      <c r="I127" s="6"/>
      <c r="J127" s="14"/>
      <c r="K127" s="6"/>
      <c r="L127" s="6"/>
      <c r="M127" s="7"/>
      <c r="N127" s="6"/>
      <c r="O127" s="7"/>
      <c r="P127" s="6"/>
      <c r="Q127" s="14"/>
      <c r="R127" s="6"/>
      <c r="S127" s="7"/>
      <c r="T127" s="169"/>
      <c r="U127" s="8"/>
      <c r="V127" s="7"/>
      <c r="W127" s="6"/>
      <c r="X127" s="7"/>
      <c r="Y127" s="6"/>
      <c r="Z127" s="14"/>
      <c r="AA127" s="6"/>
      <c r="AB127" s="7"/>
    </row>
    <row r="128" spans="1:28" s="4" customFormat="1" ht="15.75" outlineLevel="2" x14ac:dyDescent="0.25">
      <c r="A128" s="30" t="s">
        <v>67</v>
      </c>
      <c r="B128" s="5"/>
      <c r="C128" s="88" t="s">
        <v>167</v>
      </c>
      <c r="D128" s="6"/>
      <c r="E128" s="7"/>
      <c r="F128" s="7"/>
      <c r="G128" s="6"/>
      <c r="H128" s="8"/>
      <c r="I128" s="6"/>
      <c r="J128" s="14"/>
      <c r="K128" s="6"/>
      <c r="L128" s="6"/>
      <c r="M128" s="7"/>
      <c r="N128" s="6"/>
      <c r="O128" s="8"/>
      <c r="P128" s="6"/>
      <c r="Q128" s="14"/>
      <c r="R128" s="6"/>
      <c r="S128" s="7"/>
      <c r="T128" s="172"/>
      <c r="V128" s="7"/>
      <c r="W128" s="6"/>
      <c r="X128" s="8"/>
      <c r="Y128" s="6"/>
      <c r="Z128" s="14"/>
      <c r="AA128" s="6"/>
      <c r="AB128" s="7"/>
    </row>
    <row r="129" spans="1:28" s="4" customFormat="1" ht="15.75" outlineLevel="2" x14ac:dyDescent="0.25">
      <c r="A129" s="30" t="s">
        <v>67</v>
      </c>
      <c r="C129" s="61" t="s">
        <v>28</v>
      </c>
      <c r="D129" s="6"/>
      <c r="E129" s="7">
        <v>7306.23</v>
      </c>
      <c r="F129" s="7">
        <f>(E129/10)*12</f>
        <v>8767.4759999999987</v>
      </c>
      <c r="G129" s="6"/>
      <c r="H129" s="8">
        <v>7500</v>
      </c>
      <c r="I129" s="6"/>
      <c r="J129" s="9">
        <f>H129/$H$198</f>
        <v>2.1207184779303757E-2</v>
      </c>
      <c r="K129" s="6"/>
      <c r="L129" s="6"/>
      <c r="M129" s="7"/>
      <c r="N129" s="6"/>
      <c r="O129" s="8">
        <v>9000</v>
      </c>
      <c r="P129" s="6"/>
      <c r="Q129" s="9">
        <f>O129/$O$198</f>
        <v>3.035676177136562E-2</v>
      </c>
      <c r="R129" s="6"/>
      <c r="S129" s="7">
        <f>O129/12</f>
        <v>750</v>
      </c>
      <c r="T129" s="169">
        <v>9000</v>
      </c>
      <c r="U129" s="8">
        <f>(4489.95/10)*12</f>
        <v>5387.9400000000005</v>
      </c>
      <c r="V129" s="7"/>
      <c r="W129" s="6"/>
      <c r="X129" s="8">
        <v>7500</v>
      </c>
      <c r="Y129" s="6"/>
      <c r="Z129" s="9">
        <f>X129/$X$198</f>
        <v>2.3245578690932984E-2</v>
      </c>
      <c r="AA129" s="6"/>
      <c r="AB129" s="7">
        <f>X129/12</f>
        <v>625</v>
      </c>
    </row>
    <row r="130" spans="1:28" s="4" customFormat="1" ht="15.75" outlineLevel="1" x14ac:dyDescent="0.25">
      <c r="A130" s="48" t="s">
        <v>116</v>
      </c>
      <c r="B130" s="49"/>
      <c r="C130" s="66"/>
      <c r="D130" s="50"/>
      <c r="E130" s="53">
        <f>SUBTOTAL(9,E128:E129)</f>
        <v>7306.23</v>
      </c>
      <c r="F130" s="53">
        <f>SUBTOTAL(9,F128:F129)</f>
        <v>8767.4759999999987</v>
      </c>
      <c r="G130" s="50"/>
      <c r="H130" s="53">
        <f>SUBTOTAL(9,H128:H129)</f>
        <v>7500</v>
      </c>
      <c r="I130" s="50"/>
      <c r="J130" s="52">
        <f>H130/H198</f>
        <v>2.1207184779303757E-2</v>
      </c>
      <c r="K130" s="50"/>
      <c r="L130" s="24"/>
      <c r="M130" s="51">
        <f>SUBTOTAL(9,M128:M129)</f>
        <v>0</v>
      </c>
      <c r="N130" s="50"/>
      <c r="O130" s="53">
        <f>SUBTOTAL(9,O128:O129)</f>
        <v>9000</v>
      </c>
      <c r="P130" s="50"/>
      <c r="Q130" s="52">
        <f>O130/$O$198</f>
        <v>3.035676177136562E-2</v>
      </c>
      <c r="R130" s="50"/>
      <c r="S130" s="51">
        <f>SUBTOTAL(9,S128:S129)</f>
        <v>750</v>
      </c>
      <c r="T130" s="170">
        <f>SUBTOTAL(9,T127:T129)</f>
        <v>9000</v>
      </c>
      <c r="U130" s="35">
        <f>SUM(U129)</f>
        <v>5387.9400000000005</v>
      </c>
      <c r="V130" s="51">
        <f>SUBTOTAL(9,V128:V129)</f>
        <v>0</v>
      </c>
      <c r="W130" s="50"/>
      <c r="X130" s="53">
        <f>SUBTOTAL(9,X128:X129)</f>
        <v>7500</v>
      </c>
      <c r="Y130" s="50"/>
      <c r="Z130" s="52">
        <f>X130/$O$198</f>
        <v>2.5297301476138016E-2</v>
      </c>
      <c r="AA130" s="50"/>
      <c r="AB130" s="51">
        <f>SUBTOTAL(9,AB128:AB129)</f>
        <v>625</v>
      </c>
    </row>
    <row r="131" spans="1:28" s="4" customFormat="1" ht="15.75" outlineLevel="1" x14ac:dyDescent="0.25">
      <c r="A131" s="5"/>
      <c r="C131" s="61"/>
      <c r="D131" s="6"/>
      <c r="E131" s="7"/>
      <c r="F131" s="7"/>
      <c r="G131" s="6"/>
      <c r="H131" s="8"/>
      <c r="I131" s="6"/>
      <c r="J131" s="9"/>
      <c r="K131" s="6"/>
      <c r="L131" s="6"/>
      <c r="M131" s="7"/>
      <c r="N131" s="6"/>
      <c r="O131" s="8"/>
      <c r="P131" s="6"/>
      <c r="Q131" s="9"/>
      <c r="R131" s="6"/>
      <c r="S131" s="7"/>
      <c r="T131" s="169"/>
      <c r="U131" s="8"/>
      <c r="V131" s="7"/>
      <c r="W131" s="6"/>
      <c r="X131" s="8"/>
      <c r="Y131" s="6"/>
      <c r="Z131" s="9"/>
      <c r="AA131" s="6"/>
      <c r="AB131" s="7"/>
    </row>
    <row r="132" spans="1:28" s="4" customFormat="1" ht="15.75" outlineLevel="1" x14ac:dyDescent="0.25">
      <c r="A132" s="31" t="s">
        <v>127</v>
      </c>
      <c r="C132" s="5" t="s">
        <v>127</v>
      </c>
      <c r="D132" s="6"/>
      <c r="E132" s="7"/>
      <c r="F132" s="7"/>
      <c r="G132" s="6"/>
      <c r="H132" s="8"/>
      <c r="I132" s="6"/>
      <c r="J132" s="9"/>
      <c r="K132" s="6"/>
      <c r="L132" s="6"/>
      <c r="M132" s="7"/>
      <c r="N132" s="6"/>
      <c r="O132" s="8"/>
      <c r="P132" s="6"/>
      <c r="Q132" s="9"/>
      <c r="R132" s="6"/>
      <c r="S132" s="7"/>
      <c r="T132" s="169"/>
      <c r="U132" s="8">
        <f>(-100/10)*12</f>
        <v>-120</v>
      </c>
      <c r="V132" s="7"/>
      <c r="W132" s="6"/>
      <c r="X132" s="8"/>
      <c r="Y132" s="6"/>
      <c r="Z132" s="9"/>
      <c r="AA132" s="6"/>
      <c r="AB132" s="7"/>
    </row>
    <row r="133" spans="1:28" s="4" customFormat="1" ht="15.75" outlineLevel="1" x14ac:dyDescent="0.25">
      <c r="A133" s="31" t="s">
        <v>128</v>
      </c>
      <c r="C133" s="60" t="s">
        <v>128</v>
      </c>
      <c r="D133" s="6"/>
      <c r="E133" s="7">
        <v>0</v>
      </c>
      <c r="F133" s="7"/>
      <c r="G133" s="6"/>
      <c r="H133" s="8"/>
      <c r="I133" s="6"/>
      <c r="J133" s="9"/>
      <c r="K133" s="6"/>
      <c r="L133" s="6"/>
      <c r="M133" s="7"/>
      <c r="N133" s="6"/>
      <c r="O133" s="8"/>
      <c r="P133" s="6"/>
      <c r="Q133" s="9"/>
      <c r="R133" s="6"/>
      <c r="S133" s="7"/>
      <c r="T133" s="169"/>
      <c r="U133" s="8"/>
      <c r="V133" s="7"/>
      <c r="W133" s="6"/>
      <c r="X133" s="8"/>
      <c r="Y133" s="6"/>
      <c r="Z133" s="9"/>
      <c r="AA133" s="6"/>
      <c r="AB133" s="7"/>
    </row>
    <row r="134" spans="1:28" s="4" customFormat="1" ht="15.75" outlineLevel="1" x14ac:dyDescent="0.25">
      <c r="A134" s="31"/>
      <c r="C134" s="60"/>
      <c r="D134" s="6"/>
      <c r="E134" s="7"/>
      <c r="F134" s="7"/>
      <c r="G134" s="6"/>
      <c r="H134" s="8"/>
      <c r="I134" s="6"/>
      <c r="J134" s="9"/>
      <c r="K134" s="6"/>
      <c r="L134" s="6"/>
      <c r="M134" s="7"/>
      <c r="N134" s="6"/>
      <c r="O134" s="8"/>
      <c r="P134" s="6"/>
      <c r="Q134" s="9"/>
      <c r="R134" s="6"/>
      <c r="S134" s="7"/>
      <c r="T134" s="169"/>
      <c r="U134" s="8"/>
      <c r="V134" s="7"/>
      <c r="W134" s="6"/>
      <c r="X134" s="8"/>
      <c r="Y134" s="6"/>
      <c r="Z134" s="9"/>
      <c r="AA134" s="6"/>
      <c r="AB134" s="7"/>
    </row>
    <row r="135" spans="1:28" s="4" customFormat="1" ht="15.75" outlineLevel="2" x14ac:dyDescent="0.25">
      <c r="A135" s="30" t="s">
        <v>29</v>
      </c>
      <c r="C135" s="60" t="s">
        <v>29</v>
      </c>
      <c r="D135" s="6"/>
      <c r="E135" s="7">
        <v>0</v>
      </c>
      <c r="F135" s="7"/>
      <c r="G135" s="6"/>
      <c r="H135" s="8"/>
      <c r="I135" s="6"/>
      <c r="J135" s="14"/>
      <c r="K135" s="6"/>
      <c r="L135" s="6"/>
      <c r="M135" s="7"/>
      <c r="N135" s="6"/>
      <c r="O135" s="8"/>
      <c r="P135" s="6"/>
      <c r="Q135" s="14"/>
      <c r="R135" s="6"/>
      <c r="S135" s="7"/>
      <c r="T135" s="172"/>
      <c r="V135" s="7"/>
      <c r="W135" s="6"/>
      <c r="X135" s="8"/>
      <c r="Y135" s="6"/>
      <c r="Z135" s="14"/>
      <c r="AA135" s="6"/>
      <c r="AB135" s="7"/>
    </row>
    <row r="136" spans="1:28" s="4" customFormat="1" ht="15.75" outlineLevel="2" x14ac:dyDescent="0.25">
      <c r="A136" s="30" t="s">
        <v>29</v>
      </c>
      <c r="B136" s="5"/>
      <c r="C136" s="61" t="s">
        <v>321</v>
      </c>
      <c r="D136" s="6"/>
      <c r="E136" s="7">
        <v>0</v>
      </c>
      <c r="F136" s="7">
        <f>(E136/10)*12</f>
        <v>0</v>
      </c>
      <c r="G136" s="6"/>
      <c r="H136" s="7">
        <v>0</v>
      </c>
      <c r="I136" s="6"/>
      <c r="J136" s="9">
        <f>H136/$H$198</f>
        <v>0</v>
      </c>
      <c r="K136" s="6"/>
      <c r="L136" s="6"/>
      <c r="M136" s="7"/>
      <c r="N136" s="6"/>
      <c r="O136" s="8">
        <v>0</v>
      </c>
      <c r="P136" s="6"/>
      <c r="Q136" s="9">
        <f>O136/$O$198</f>
        <v>0</v>
      </c>
      <c r="R136" s="6"/>
      <c r="S136" s="7">
        <f>O136/12</f>
        <v>0</v>
      </c>
      <c r="T136" s="169">
        <v>0</v>
      </c>
      <c r="U136" s="8">
        <v>0</v>
      </c>
      <c r="V136" s="7"/>
      <c r="W136" s="6"/>
      <c r="X136" s="8">
        <v>0</v>
      </c>
      <c r="Y136" s="6"/>
      <c r="Z136" s="9">
        <f>X136/$X$198</f>
        <v>0</v>
      </c>
      <c r="AA136" s="6"/>
      <c r="AB136" s="7">
        <f>X136/12</f>
        <v>0</v>
      </c>
    </row>
    <row r="137" spans="1:28" s="4" customFormat="1" ht="15.75" outlineLevel="2" x14ac:dyDescent="0.25">
      <c r="A137" s="30" t="s">
        <v>29</v>
      </c>
      <c r="B137" s="6"/>
      <c r="C137" s="61" t="s">
        <v>94</v>
      </c>
      <c r="D137" s="6"/>
      <c r="E137" s="7">
        <v>13251.8</v>
      </c>
      <c r="F137" s="7">
        <f>(E137/10)*12</f>
        <v>15902.159999999998</v>
      </c>
      <c r="G137" s="6"/>
      <c r="H137" s="8">
        <v>12000</v>
      </c>
      <c r="I137" s="6"/>
      <c r="J137" s="9">
        <f>H137/$H$198</f>
        <v>3.3931495646886009E-2</v>
      </c>
      <c r="K137" s="6"/>
      <c r="L137" s="6"/>
      <c r="M137" s="7"/>
      <c r="N137" s="6"/>
      <c r="O137" s="8">
        <v>2000</v>
      </c>
      <c r="P137" s="6"/>
      <c r="Q137" s="9">
        <f>O137/$O$198</f>
        <v>6.745947060303471E-3</v>
      </c>
      <c r="R137" s="6"/>
      <c r="S137" s="7">
        <f>O137/12</f>
        <v>166.66666666666666</v>
      </c>
      <c r="T137" s="169">
        <f>4000-2000</f>
        <v>2000</v>
      </c>
      <c r="U137" s="8">
        <f>(1734.37/10)*12</f>
        <v>2081.2439999999997</v>
      </c>
      <c r="V137" s="7">
        <v>-1000</v>
      </c>
      <c r="W137" s="6"/>
      <c r="X137" s="8">
        <v>1000</v>
      </c>
      <c r="Y137" s="6"/>
      <c r="Z137" s="9">
        <f>X137/$X$198</f>
        <v>3.099410492124398E-3</v>
      </c>
      <c r="AA137" s="6"/>
      <c r="AB137" s="7">
        <f>X137/12</f>
        <v>83.333333333333329</v>
      </c>
    </row>
    <row r="138" spans="1:28" s="4" customFormat="1" ht="15.75" outlineLevel="1" x14ac:dyDescent="0.25">
      <c r="A138" s="21" t="s">
        <v>118</v>
      </c>
      <c r="B138" s="24"/>
      <c r="C138" s="62"/>
      <c r="D138" s="24"/>
      <c r="E138" s="35">
        <f>SUBTOTAL(9,E135:E137)</f>
        <v>13251.8</v>
      </c>
      <c r="F138" s="35">
        <f>SUBTOTAL(9,F135:F137)</f>
        <v>15902.159999999998</v>
      </c>
      <c r="G138" s="24"/>
      <c r="H138" s="35">
        <f>SUBTOTAL(9,H135:H137)</f>
        <v>12000</v>
      </c>
      <c r="I138" s="24"/>
      <c r="J138" s="26">
        <f>SUBTOTAL(9,J135:J137)</f>
        <v>3.3931495646886009E-2</v>
      </c>
      <c r="K138" s="24"/>
      <c r="L138" s="24"/>
      <c r="M138" s="25">
        <f>SUBTOTAL(9,M135:M137)</f>
        <v>0</v>
      </c>
      <c r="N138" s="24"/>
      <c r="O138" s="35">
        <f>SUBTOTAL(9,O135:O137)</f>
        <v>2000</v>
      </c>
      <c r="P138" s="24"/>
      <c r="Q138" s="26">
        <f>SUBTOTAL(9,Q135:Q137)</f>
        <v>6.745947060303471E-3</v>
      </c>
      <c r="R138" s="24"/>
      <c r="S138" s="25">
        <f>SUBTOTAL(9,S135:S137)</f>
        <v>166.66666666666666</v>
      </c>
      <c r="T138" s="170">
        <f>SUBTOTAL(9,T133:T137)</f>
        <v>2000</v>
      </c>
      <c r="U138" s="35">
        <f>SUM(U136:U137)</f>
        <v>2081.2439999999997</v>
      </c>
      <c r="V138" s="25">
        <f>SUBTOTAL(9,V135:V137)</f>
        <v>-1000</v>
      </c>
      <c r="W138" s="24"/>
      <c r="X138" s="35">
        <f>SUBTOTAL(9,X135:X137)</f>
        <v>1000</v>
      </c>
      <c r="Y138" s="24"/>
      <c r="Z138" s="26">
        <f>SUBTOTAL(9,Z135:Z137)</f>
        <v>3.099410492124398E-3</v>
      </c>
      <c r="AA138" s="24"/>
      <c r="AB138" s="25">
        <f>SUBTOTAL(9,AB135:AB137)</f>
        <v>83.333333333333329</v>
      </c>
    </row>
    <row r="139" spans="1:28" s="4" customFormat="1" ht="15.75" outlineLevel="1" x14ac:dyDescent="0.25">
      <c r="A139" s="6"/>
      <c r="B139" s="6"/>
      <c r="C139" s="61"/>
      <c r="D139" s="6"/>
      <c r="E139" s="7"/>
      <c r="F139" s="7"/>
      <c r="G139" s="6"/>
      <c r="H139" s="7"/>
      <c r="I139" s="6"/>
      <c r="J139" s="14"/>
      <c r="K139" s="6"/>
      <c r="L139" s="6"/>
      <c r="M139" s="7"/>
      <c r="N139" s="6"/>
      <c r="O139" s="7"/>
      <c r="P139" s="6"/>
      <c r="Q139" s="14"/>
      <c r="R139" s="6"/>
      <c r="S139" s="7"/>
      <c r="T139" s="169"/>
      <c r="U139" s="8"/>
      <c r="V139" s="7"/>
      <c r="W139" s="6"/>
      <c r="X139" s="7"/>
      <c r="Y139" s="6"/>
      <c r="Z139" s="14"/>
      <c r="AA139" s="6"/>
      <c r="AB139" s="7"/>
    </row>
    <row r="140" spans="1:28" s="4" customFormat="1" ht="15.75" outlineLevel="2" x14ac:dyDescent="0.25">
      <c r="A140" s="30" t="s">
        <v>30</v>
      </c>
      <c r="C140" s="5" t="s">
        <v>30</v>
      </c>
      <c r="D140" s="6"/>
      <c r="E140" s="7"/>
      <c r="F140" s="7"/>
      <c r="G140" s="6"/>
      <c r="H140" s="8"/>
      <c r="I140" s="6"/>
      <c r="J140" s="14"/>
      <c r="K140" s="6"/>
      <c r="L140" s="6"/>
      <c r="M140" s="7"/>
      <c r="N140" s="6"/>
      <c r="O140" s="8"/>
      <c r="P140" s="6"/>
      <c r="Q140" s="14"/>
      <c r="R140" s="6"/>
      <c r="S140" s="7"/>
      <c r="T140" s="172"/>
      <c r="V140" s="7"/>
      <c r="W140" s="6"/>
      <c r="X140" s="8"/>
      <c r="Y140" s="6"/>
      <c r="Z140" s="14"/>
      <c r="AA140" s="6"/>
      <c r="AB140" s="7"/>
    </row>
    <row r="141" spans="1:28" s="4" customFormat="1" ht="15.75" outlineLevel="2" x14ac:dyDescent="0.25">
      <c r="A141" s="30" t="s">
        <v>30</v>
      </c>
      <c r="B141" s="6"/>
      <c r="C141" s="6" t="s">
        <v>31</v>
      </c>
      <c r="D141" s="6"/>
      <c r="E141" s="7">
        <v>6527.18</v>
      </c>
      <c r="F141" s="7">
        <f>(E141/10)*12</f>
        <v>7832.6160000000009</v>
      </c>
      <c r="G141" s="6"/>
      <c r="H141" s="8">
        <v>7000</v>
      </c>
      <c r="I141" s="6"/>
      <c r="J141" s="9">
        <f>H141/$H$198</f>
        <v>1.9793372460683505E-2</v>
      </c>
      <c r="K141" s="6"/>
      <c r="L141" s="6"/>
      <c r="M141" s="7"/>
      <c r="N141" s="6"/>
      <c r="O141" s="8">
        <v>8000</v>
      </c>
      <c r="P141" s="6"/>
      <c r="Q141" s="9">
        <f>O141/$O$198</f>
        <v>2.6983788241213884E-2</v>
      </c>
      <c r="R141" s="6"/>
      <c r="S141" s="7">
        <f>O141/12</f>
        <v>666.66666666666663</v>
      </c>
      <c r="T141" s="169">
        <v>8000</v>
      </c>
      <c r="U141" s="8">
        <f>(6825.59/10)*12</f>
        <v>8190.7079999999996</v>
      </c>
      <c r="V141" s="7"/>
      <c r="W141" s="6"/>
      <c r="X141" s="8">
        <v>8000</v>
      </c>
      <c r="Y141" s="6"/>
      <c r="Z141" s="9">
        <f>X141/$X$198</f>
        <v>2.4795283936995184E-2</v>
      </c>
      <c r="AA141" s="6"/>
      <c r="AB141" s="7">
        <f>X141/12</f>
        <v>666.66666666666663</v>
      </c>
    </row>
    <row r="142" spans="1:28" s="4" customFormat="1" ht="15.75" outlineLevel="2" x14ac:dyDescent="0.25">
      <c r="A142" s="30" t="s">
        <v>30</v>
      </c>
      <c r="B142" s="6"/>
      <c r="C142" s="6" t="s">
        <v>32</v>
      </c>
      <c r="D142" s="6"/>
      <c r="E142" s="7">
        <v>13259.4</v>
      </c>
      <c r="F142" s="7">
        <f>(E142/10)*12</f>
        <v>15911.28</v>
      </c>
      <c r="G142" s="6"/>
      <c r="H142" s="8">
        <v>15000</v>
      </c>
      <c r="I142" s="6"/>
      <c r="J142" s="9">
        <f>H142/$H$198</f>
        <v>4.2414369558607515E-2</v>
      </c>
      <c r="K142" s="6"/>
      <c r="L142" s="6"/>
      <c r="M142" s="7"/>
      <c r="N142" s="6"/>
      <c r="O142" s="8">
        <v>15000</v>
      </c>
      <c r="P142" s="6"/>
      <c r="Q142" s="9">
        <f>O142/$O$198</f>
        <v>5.0594602952276031E-2</v>
      </c>
      <c r="R142" s="6"/>
      <c r="S142" s="7">
        <f>O142/12</f>
        <v>1250</v>
      </c>
      <c r="T142" s="169">
        <v>15000</v>
      </c>
      <c r="U142" s="8">
        <f>(18294.01/10)*12</f>
        <v>21952.811999999998</v>
      </c>
      <c r="V142" s="226" t="s">
        <v>267</v>
      </c>
      <c r="W142" s="6"/>
      <c r="X142" s="8">
        <v>20000</v>
      </c>
      <c r="Y142" s="6"/>
      <c r="Z142" s="9">
        <f>X142/$X$198</f>
        <v>6.1988209842487957E-2</v>
      </c>
      <c r="AA142" s="6"/>
      <c r="AB142" s="7">
        <f>X142/12</f>
        <v>1666.6666666666667</v>
      </c>
    </row>
    <row r="143" spans="1:28" s="4" customFormat="1" ht="20.25" outlineLevel="2" x14ac:dyDescent="0.3">
      <c r="A143" s="30" t="s">
        <v>30</v>
      </c>
      <c r="B143" s="6"/>
      <c r="C143" s="61" t="s">
        <v>144</v>
      </c>
      <c r="D143" s="6"/>
      <c r="E143" s="96">
        <v>0</v>
      </c>
      <c r="F143" s="7">
        <f>(E143/10)*12</f>
        <v>0</v>
      </c>
      <c r="G143" s="151" t="s">
        <v>182</v>
      </c>
      <c r="H143" s="8">
        <v>7000</v>
      </c>
      <c r="I143" s="6"/>
      <c r="J143" s="9">
        <f>H143/$H$198</f>
        <v>1.9793372460683505E-2</v>
      </c>
      <c r="K143" s="6"/>
      <c r="L143" s="6"/>
      <c r="M143" s="18" t="s">
        <v>132</v>
      </c>
      <c r="N143" s="6"/>
      <c r="O143" s="8">
        <v>7000</v>
      </c>
      <c r="P143" s="6"/>
      <c r="Q143" s="9">
        <f>O143/$O$198</f>
        <v>2.3610814711062151E-2</v>
      </c>
      <c r="R143" s="6"/>
      <c r="S143" s="7">
        <f>O143/12</f>
        <v>583.33333333333337</v>
      </c>
      <c r="T143" s="169">
        <v>7000</v>
      </c>
      <c r="U143" s="8">
        <f>(0/8)*12</f>
        <v>0</v>
      </c>
      <c r="V143" s="18" t="s">
        <v>132</v>
      </c>
      <c r="W143" s="6"/>
      <c r="X143" s="8">
        <v>7000</v>
      </c>
      <c r="Y143" s="6"/>
      <c r="Z143" s="9">
        <f>X143/$X$198</f>
        <v>2.1695873444870787E-2</v>
      </c>
      <c r="AA143" s="6"/>
      <c r="AB143" s="7">
        <f>X143/12</f>
        <v>583.33333333333337</v>
      </c>
    </row>
    <row r="144" spans="1:28" s="4" customFormat="1" ht="15.75" outlineLevel="2" x14ac:dyDescent="0.25">
      <c r="A144" s="6"/>
      <c r="B144" s="224"/>
      <c r="C144" s="6" t="s">
        <v>148</v>
      </c>
      <c r="D144" s="6"/>
      <c r="E144" s="7">
        <v>0</v>
      </c>
      <c r="F144" s="7">
        <f>(E144/10)*12</f>
        <v>0</v>
      </c>
      <c r="G144" s="6"/>
      <c r="H144" s="8"/>
      <c r="I144" s="6"/>
      <c r="J144" s="9"/>
      <c r="K144" s="6"/>
      <c r="L144" s="6"/>
      <c r="M144" s="7"/>
      <c r="N144" s="6"/>
      <c r="O144" s="8">
        <v>4000</v>
      </c>
      <c r="P144" s="6"/>
      <c r="Q144" s="9"/>
      <c r="R144" s="6"/>
      <c r="S144" s="7"/>
      <c r="T144" s="169">
        <v>4000</v>
      </c>
      <c r="U144" s="8">
        <f>(4252.56/10)*12</f>
        <v>5103.0720000000001</v>
      </c>
      <c r="V144" s="90" t="s">
        <v>264</v>
      </c>
      <c r="W144" s="6"/>
      <c r="X144" s="8">
        <v>4000</v>
      </c>
      <c r="Y144" s="6"/>
      <c r="Z144" s="9">
        <f>X144/$X$198</f>
        <v>1.2397641968497592E-2</v>
      </c>
      <c r="AA144" s="6"/>
      <c r="AB144" s="7"/>
    </row>
    <row r="145" spans="1:28" s="4" customFormat="1" ht="15.75" outlineLevel="2" x14ac:dyDescent="0.25">
      <c r="A145" s="6"/>
      <c r="B145" s="224"/>
      <c r="C145" s="6"/>
      <c r="D145" s="6"/>
      <c r="E145" s="7"/>
      <c r="F145" s="7"/>
      <c r="G145" s="6"/>
      <c r="H145" s="8"/>
      <c r="I145" s="6"/>
      <c r="J145" s="9"/>
      <c r="K145" s="6"/>
      <c r="L145" s="6"/>
      <c r="M145" s="7"/>
      <c r="N145" s="6"/>
      <c r="O145" s="8"/>
      <c r="P145" s="6"/>
      <c r="Q145" s="9"/>
      <c r="R145" s="6"/>
      <c r="S145" s="7"/>
      <c r="T145" s="169"/>
      <c r="U145" s="8"/>
      <c r="V145" s="7"/>
      <c r="W145" s="6"/>
      <c r="X145" s="8"/>
      <c r="Y145" s="6"/>
      <c r="Z145" s="9"/>
      <c r="AA145" s="6"/>
      <c r="AB145" s="7"/>
    </row>
    <row r="146" spans="1:28" s="4" customFormat="1" ht="15.75" outlineLevel="1" x14ac:dyDescent="0.25">
      <c r="A146" s="21" t="s">
        <v>119</v>
      </c>
      <c r="B146" s="24"/>
      <c r="C146" s="62"/>
      <c r="D146" s="24"/>
      <c r="E146" s="35">
        <f>SUBTOTAL(9,E140:E144)</f>
        <v>19786.580000000002</v>
      </c>
      <c r="F146" s="35">
        <f>SUBTOTAL(9,F140:F144)</f>
        <v>23743.896000000001</v>
      </c>
      <c r="G146" s="24"/>
      <c r="H146" s="35">
        <f>SUBTOTAL(9,H140:H144)</f>
        <v>29000</v>
      </c>
      <c r="I146" s="24"/>
      <c r="J146" s="26">
        <f>SUBTOTAL(9,J140:J144)</f>
        <v>8.2001114479974532E-2</v>
      </c>
      <c r="K146" s="24"/>
      <c r="L146" s="24"/>
      <c r="M146" s="25"/>
      <c r="N146" s="24"/>
      <c r="O146" s="35">
        <f>SUBTOTAL(9,O140:O144)</f>
        <v>34000</v>
      </c>
      <c r="P146" s="24"/>
      <c r="Q146" s="26">
        <f>SUBTOTAL(9,Q140:Q144)</f>
        <v>0.10118920590455206</v>
      </c>
      <c r="R146" s="24"/>
      <c r="S146" s="25">
        <f>SUBTOTAL(9,S140:S144)</f>
        <v>2500</v>
      </c>
      <c r="T146" s="170">
        <f>SUBTOTAL(9,T139:T144)</f>
        <v>34000</v>
      </c>
      <c r="U146" s="35">
        <f>SUM(U141:U144)</f>
        <v>35246.591999999997</v>
      </c>
      <c r="V146" s="25">
        <v>5000</v>
      </c>
      <c r="W146" s="24"/>
      <c r="X146" s="35">
        <f>SUBTOTAL(9,X140:X144)</f>
        <v>39000</v>
      </c>
      <c r="Y146" s="24"/>
      <c r="Z146" s="26">
        <f>X146/$X$198</f>
        <v>0.12087700919285152</v>
      </c>
      <c r="AA146" s="24"/>
      <c r="AB146" s="25">
        <f>SUBTOTAL(9,AB140:AB144)</f>
        <v>2916.666666666667</v>
      </c>
    </row>
    <row r="147" spans="1:28" s="4" customFormat="1" ht="15.75" outlineLevel="1" x14ac:dyDescent="0.25">
      <c r="A147" s="6"/>
      <c r="B147" s="6"/>
      <c r="C147" s="61"/>
      <c r="D147" s="6"/>
      <c r="E147" s="7"/>
      <c r="F147" s="7"/>
      <c r="G147" s="6"/>
      <c r="H147" s="7"/>
      <c r="I147" s="6"/>
      <c r="J147" s="14"/>
      <c r="K147" s="6"/>
      <c r="L147" s="6"/>
      <c r="M147" s="7"/>
      <c r="N147" s="6"/>
      <c r="O147" s="7"/>
      <c r="P147" s="6"/>
      <c r="Q147" s="14"/>
      <c r="R147" s="6"/>
      <c r="S147" s="7"/>
      <c r="T147" s="169"/>
      <c r="U147" s="8"/>
      <c r="V147" s="7"/>
      <c r="W147" s="6"/>
      <c r="X147" s="7"/>
      <c r="Y147" s="6"/>
      <c r="Z147" s="14"/>
      <c r="AA147" s="6"/>
      <c r="AB147" s="7"/>
    </row>
    <row r="148" spans="1:28" s="4" customFormat="1" ht="15.75" outlineLevel="2" x14ac:dyDescent="0.25">
      <c r="A148" s="30" t="s">
        <v>33</v>
      </c>
      <c r="C148" s="60" t="s">
        <v>33</v>
      </c>
      <c r="D148" s="6"/>
      <c r="E148" s="7"/>
      <c r="F148" s="7"/>
      <c r="G148" s="6"/>
      <c r="H148" s="8"/>
      <c r="I148" s="6"/>
      <c r="J148" s="14"/>
      <c r="K148" s="6"/>
      <c r="L148" s="6"/>
      <c r="M148" s="7" t="s">
        <v>129</v>
      </c>
      <c r="N148" s="6"/>
      <c r="O148" s="8"/>
      <c r="P148" s="6"/>
      <c r="Q148" s="14"/>
      <c r="R148" s="6"/>
      <c r="S148" s="7"/>
      <c r="T148" s="172"/>
      <c r="V148" s="7"/>
      <c r="W148" s="6"/>
      <c r="X148" s="8"/>
      <c r="Y148" s="6"/>
      <c r="Z148" s="14"/>
      <c r="AA148" s="6"/>
      <c r="AB148" s="7"/>
    </row>
    <row r="149" spans="1:28" s="4" customFormat="1" ht="15.75" outlineLevel="2" x14ac:dyDescent="0.25">
      <c r="A149" s="30" t="s">
        <v>33</v>
      </c>
      <c r="B149" s="5"/>
      <c r="C149" s="61" t="s">
        <v>34</v>
      </c>
      <c r="D149" s="6"/>
      <c r="E149" s="7">
        <v>11525.37</v>
      </c>
      <c r="F149" s="7">
        <f>(E149/10)*12</f>
        <v>13830.444</v>
      </c>
      <c r="G149" s="6"/>
      <c r="H149" s="8">
        <v>15000</v>
      </c>
      <c r="I149" s="6"/>
      <c r="J149" s="9">
        <f>H149/$H$198</f>
        <v>4.2414369558607515E-2</v>
      </c>
      <c r="K149" s="6"/>
      <c r="L149" s="6"/>
      <c r="M149" s="7">
        <v>9000</v>
      </c>
      <c r="N149" s="6"/>
      <c r="O149" s="8">
        <v>15000</v>
      </c>
      <c r="P149" s="6"/>
      <c r="Q149" s="9">
        <f>O149/$O$198</f>
        <v>5.0594602952276031E-2</v>
      </c>
      <c r="R149" s="6"/>
      <c r="S149" s="7">
        <f>O149/12</f>
        <v>1250</v>
      </c>
      <c r="T149" s="169">
        <v>15000</v>
      </c>
      <c r="U149" s="8">
        <f>(13785.96/10)*12</f>
        <v>16543.152000000002</v>
      </c>
      <c r="V149" s="7"/>
      <c r="W149" s="6"/>
      <c r="X149" s="8">
        <v>15000</v>
      </c>
      <c r="Y149" s="6"/>
      <c r="Z149" s="9">
        <f>X149/$X$198</f>
        <v>4.6491157381865968E-2</v>
      </c>
      <c r="AA149" s="6"/>
      <c r="AB149" s="7">
        <f>X149/12</f>
        <v>1250</v>
      </c>
    </row>
    <row r="150" spans="1:28" s="4" customFormat="1" ht="15.75" outlineLevel="2" x14ac:dyDescent="0.25">
      <c r="A150" s="30" t="s">
        <v>33</v>
      </c>
      <c r="B150" s="5"/>
      <c r="C150" s="6" t="s">
        <v>142</v>
      </c>
      <c r="D150" s="6"/>
      <c r="E150" s="7">
        <v>98.82</v>
      </c>
      <c r="F150" s="7">
        <f>(E150/10)*12</f>
        <v>118.584</v>
      </c>
      <c r="G150" s="6"/>
      <c r="H150" s="8">
        <v>2000</v>
      </c>
      <c r="I150" s="6"/>
      <c r="J150" s="9">
        <f>H150/$H$198</f>
        <v>5.6552492744810015E-3</v>
      </c>
      <c r="K150" s="6"/>
      <c r="L150" s="6"/>
      <c r="M150" s="7"/>
      <c r="N150" s="6"/>
      <c r="O150" s="8">
        <v>2000</v>
      </c>
      <c r="P150" s="6"/>
      <c r="Q150" s="9">
        <f>O150/$O$198</f>
        <v>6.745947060303471E-3</v>
      </c>
      <c r="R150" s="6"/>
      <c r="S150" s="7">
        <f>O150/12</f>
        <v>166.66666666666666</v>
      </c>
      <c r="T150" s="169">
        <v>2000</v>
      </c>
      <c r="U150" s="8">
        <f>(1178.83/10)*12</f>
        <v>1414.596</v>
      </c>
      <c r="V150" s="4" t="s">
        <v>312</v>
      </c>
      <c r="W150" s="6"/>
      <c r="X150" s="8">
        <v>2000</v>
      </c>
      <c r="Y150" s="6"/>
      <c r="Z150" s="9">
        <f>X150/$X$198</f>
        <v>6.198820984248796E-3</v>
      </c>
      <c r="AA150" s="6"/>
      <c r="AB150" s="7">
        <f>X150/12</f>
        <v>166.66666666666666</v>
      </c>
    </row>
    <row r="151" spans="1:28" s="4" customFormat="1" ht="15.75" outlineLevel="2" x14ac:dyDescent="0.25">
      <c r="A151" s="30" t="s">
        <v>33</v>
      </c>
      <c r="B151" s="5"/>
      <c r="C151" s="6" t="s">
        <v>35</v>
      </c>
      <c r="D151" s="6"/>
      <c r="E151" s="7">
        <v>2057.9699999999998</v>
      </c>
      <c r="F151" s="7">
        <f>(E151/10)*12</f>
        <v>2469.5639999999994</v>
      </c>
      <c r="G151" s="6"/>
      <c r="H151" s="8">
        <v>2000</v>
      </c>
      <c r="I151" s="6"/>
      <c r="J151" s="9">
        <f>H151/$H$198</f>
        <v>5.6552492744810015E-3</v>
      </c>
      <c r="K151" s="6"/>
      <c r="L151" s="6"/>
      <c r="M151" s="7"/>
      <c r="N151" s="6"/>
      <c r="O151" s="8">
        <v>2000</v>
      </c>
      <c r="P151" s="6"/>
      <c r="Q151" s="9">
        <f>O151/$O$198</f>
        <v>6.745947060303471E-3</v>
      </c>
      <c r="R151" s="6"/>
      <c r="S151" s="7">
        <f>O151/12</f>
        <v>166.66666666666666</v>
      </c>
      <c r="T151" s="169">
        <v>2000</v>
      </c>
      <c r="U151" s="8">
        <f>(1792.64/10)*12</f>
        <v>2151.1680000000001</v>
      </c>
      <c r="V151" s="7"/>
      <c r="W151" s="6"/>
      <c r="X151" s="8">
        <v>2000</v>
      </c>
      <c r="Y151" s="6"/>
      <c r="Z151" s="9">
        <f>X151/$X$198</f>
        <v>6.198820984248796E-3</v>
      </c>
      <c r="AA151" s="6"/>
      <c r="AB151" s="7">
        <f>X151/12</f>
        <v>166.66666666666666</v>
      </c>
    </row>
    <row r="152" spans="1:28" s="4" customFormat="1" ht="15.75" outlineLevel="2" x14ac:dyDescent="0.25">
      <c r="A152" s="30" t="s">
        <v>33</v>
      </c>
      <c r="B152" s="5"/>
      <c r="C152" s="6" t="s">
        <v>36</v>
      </c>
      <c r="D152" s="6"/>
      <c r="E152" s="7">
        <v>40.25</v>
      </c>
      <c r="F152" s="7">
        <f>(E152/10)*12</f>
        <v>48.300000000000004</v>
      </c>
      <c r="G152" s="6"/>
      <c r="H152" s="8">
        <v>200</v>
      </c>
      <c r="I152" s="6"/>
      <c r="J152" s="9">
        <f>H152/$H$198</f>
        <v>5.6552492744810017E-4</v>
      </c>
      <c r="K152" s="6"/>
      <c r="L152" s="6"/>
      <c r="M152" s="7"/>
      <c r="N152" s="6"/>
      <c r="O152" s="8">
        <v>50</v>
      </c>
      <c r="P152" s="6"/>
      <c r="Q152" s="9">
        <f>O152/$O$198</f>
        <v>1.6864867650758677E-4</v>
      </c>
      <c r="R152" s="6"/>
      <c r="S152" s="7">
        <f>O152/12</f>
        <v>4.166666666666667</v>
      </c>
      <c r="T152" s="169">
        <v>50</v>
      </c>
      <c r="U152" s="8">
        <f>(630.4/10)*12</f>
        <v>756.48</v>
      </c>
      <c r="V152" s="226" t="s">
        <v>253</v>
      </c>
      <c r="W152" s="6"/>
      <c r="X152" s="8">
        <v>100</v>
      </c>
      <c r="Y152" s="6"/>
      <c r="Z152" s="9">
        <f>X152/$X$198</f>
        <v>3.0994104921243978E-4</v>
      </c>
      <c r="AA152" s="6"/>
      <c r="AB152" s="7">
        <f>X152/12</f>
        <v>8.3333333333333339</v>
      </c>
    </row>
    <row r="153" spans="1:28" s="4" customFormat="1" ht="15.75" outlineLevel="1" x14ac:dyDescent="0.25">
      <c r="A153" s="21" t="s">
        <v>120</v>
      </c>
      <c r="B153" s="23"/>
      <c r="C153" s="62"/>
      <c r="D153" s="24"/>
      <c r="E153" s="35">
        <f>SUBTOTAL(9,E148:E152)</f>
        <v>13722.41</v>
      </c>
      <c r="F153" s="35">
        <f>SUBTOTAL(9,F148:F152)</f>
        <v>16466.892</v>
      </c>
      <c r="G153" s="24"/>
      <c r="H153" s="35">
        <f>SUBTOTAL(9,H148:H152)</f>
        <v>19200</v>
      </c>
      <c r="I153" s="24"/>
      <c r="J153" s="26">
        <f>SUBTOTAL(9,J148:J152)</f>
        <v>5.429039303501762E-2</v>
      </c>
      <c r="K153" s="24"/>
      <c r="L153" s="24"/>
      <c r="M153" s="25">
        <f>SUBTOTAL(9,M148:M152)</f>
        <v>9000</v>
      </c>
      <c r="N153" s="24"/>
      <c r="O153" s="35">
        <f>SUBTOTAL(9,O148:O152)</f>
        <v>19050</v>
      </c>
      <c r="P153" s="24"/>
      <c r="Q153" s="26">
        <f>SUBTOTAL(9,Q148:Q152)</f>
        <v>6.4255145749390563E-2</v>
      </c>
      <c r="R153" s="24"/>
      <c r="S153" s="25">
        <f>SUBTOTAL(9,S148:S152)</f>
        <v>1587.5000000000002</v>
      </c>
      <c r="T153" s="170">
        <f>SUBTOTAL(9,T147:T152)</f>
        <v>19050</v>
      </c>
      <c r="U153" s="35">
        <f>SUM(U149:U152)</f>
        <v>20865.396000000004</v>
      </c>
      <c r="V153" s="25">
        <v>50</v>
      </c>
      <c r="W153" s="24"/>
      <c r="X153" s="35">
        <f>SUBTOTAL(9,X148:X152)</f>
        <v>19100</v>
      </c>
      <c r="Y153" s="24"/>
      <c r="Z153" s="26">
        <f>SUBTOTAL(9,Z148:Z152)</f>
        <v>5.9198740399575997E-2</v>
      </c>
      <c r="AA153" s="24"/>
      <c r="AB153" s="25">
        <f>SUBTOTAL(9,AB148:AB152)</f>
        <v>1591.6666666666667</v>
      </c>
    </row>
    <row r="154" spans="1:28" s="4" customFormat="1" ht="15.75" outlineLevel="1" x14ac:dyDescent="0.25">
      <c r="A154" s="6"/>
      <c r="B154" s="5"/>
      <c r="C154" s="60"/>
      <c r="D154" s="6"/>
      <c r="E154" s="7"/>
      <c r="F154" s="7"/>
      <c r="G154" s="6"/>
      <c r="H154" s="8"/>
      <c r="I154" s="6"/>
      <c r="J154" s="14"/>
      <c r="K154" s="6"/>
      <c r="L154" s="6"/>
      <c r="M154" s="7"/>
      <c r="N154" s="6"/>
      <c r="O154" s="8"/>
      <c r="P154" s="6"/>
      <c r="Q154" s="14"/>
      <c r="R154" s="6"/>
      <c r="S154" s="7"/>
      <c r="T154" s="172"/>
      <c r="V154" s="7"/>
      <c r="W154" s="6"/>
      <c r="X154" s="8"/>
      <c r="Y154" s="6"/>
      <c r="Z154" s="14"/>
      <c r="AA154" s="6"/>
      <c r="AB154" s="7"/>
    </row>
    <row r="155" spans="1:28" s="4" customFormat="1" ht="15.75" outlineLevel="2" x14ac:dyDescent="0.25">
      <c r="A155" s="30" t="s">
        <v>89</v>
      </c>
      <c r="B155" s="5"/>
      <c r="C155" s="61" t="s">
        <v>89</v>
      </c>
      <c r="D155" s="6"/>
      <c r="E155" s="7">
        <v>0</v>
      </c>
      <c r="F155" s="7">
        <f>(E155/10)*12</f>
        <v>0</v>
      </c>
      <c r="G155" s="6"/>
      <c r="H155" s="8">
        <v>500</v>
      </c>
      <c r="I155" s="6"/>
      <c r="J155" s="9">
        <f>H155/$H$198</f>
        <v>1.4138123186202504E-3</v>
      </c>
      <c r="K155" s="6"/>
      <c r="L155" s="6"/>
      <c r="M155" s="7"/>
      <c r="N155" s="6"/>
      <c r="O155" s="8">
        <v>500</v>
      </c>
      <c r="P155" s="6"/>
      <c r="Q155" s="9">
        <f>O155/$O$198</f>
        <v>1.6864867650758677E-3</v>
      </c>
      <c r="R155" s="6"/>
      <c r="S155" s="7">
        <f>O155/12</f>
        <v>41.666666666666664</v>
      </c>
      <c r="T155" s="169">
        <v>500</v>
      </c>
      <c r="U155" s="8"/>
      <c r="W155" s="18"/>
      <c r="X155" s="8">
        <v>0</v>
      </c>
      <c r="Y155" s="6"/>
      <c r="Z155" s="9">
        <f>X155/$X$198</f>
        <v>0</v>
      </c>
      <c r="AA155" s="6"/>
      <c r="AB155" s="7">
        <f>X155/12</f>
        <v>0</v>
      </c>
    </row>
    <row r="156" spans="1:28" s="4" customFormat="1" ht="15.75" outlineLevel="1" x14ac:dyDescent="0.25">
      <c r="A156" s="21" t="s">
        <v>121</v>
      </c>
      <c r="B156" s="23"/>
      <c r="C156" s="62"/>
      <c r="D156" s="24"/>
      <c r="E156" s="35">
        <f>SUBTOTAL(9,E155:E155)</f>
        <v>0</v>
      </c>
      <c r="F156" s="35">
        <f>SUBTOTAL(9,F155:F155)</f>
        <v>0</v>
      </c>
      <c r="G156" s="24"/>
      <c r="H156" s="35">
        <f>SUBTOTAL(9,H155:H155)</f>
        <v>500</v>
      </c>
      <c r="I156" s="24"/>
      <c r="J156" s="26">
        <f>SUBTOTAL(9,J155:J155)</f>
        <v>1.4138123186202504E-3</v>
      </c>
      <c r="K156" s="24"/>
      <c r="L156" s="24"/>
      <c r="M156" s="25">
        <f>SUBTOTAL(9,M155:M155)</f>
        <v>0</v>
      </c>
      <c r="N156" s="24"/>
      <c r="O156" s="35">
        <f>SUBTOTAL(9,O155:O155)</f>
        <v>500</v>
      </c>
      <c r="P156" s="24"/>
      <c r="Q156" s="26">
        <f>SUBTOTAL(9,Q155:Q155)</f>
        <v>1.6864867650758677E-3</v>
      </c>
      <c r="R156" s="24"/>
      <c r="S156" s="25">
        <f>SUBTOTAL(9,S155:S155)</f>
        <v>41.666666666666664</v>
      </c>
      <c r="T156" s="170">
        <f>SUBTOTAL(9,T155:T155)</f>
        <v>500</v>
      </c>
      <c r="U156" s="35">
        <f>SUM(U155)</f>
        <v>0</v>
      </c>
      <c r="V156" s="25">
        <v>-500</v>
      </c>
      <c r="W156" s="24"/>
      <c r="X156" s="35">
        <f>SUBTOTAL(9,X155:X155)</f>
        <v>0</v>
      </c>
      <c r="Y156" s="24"/>
      <c r="Z156" s="26">
        <f>SUBTOTAL(9,Z155:Z155)</f>
        <v>0</v>
      </c>
      <c r="AA156" s="24"/>
      <c r="AB156" s="25">
        <f>SUBTOTAL(9,AB155:AB155)</f>
        <v>0</v>
      </c>
    </row>
    <row r="157" spans="1:28" s="4" customFormat="1" ht="15.75" outlineLevel="1" x14ac:dyDescent="0.25">
      <c r="A157" s="6"/>
      <c r="B157" s="5"/>
      <c r="C157" s="60"/>
      <c r="D157" s="6"/>
      <c r="E157" s="7"/>
      <c r="F157" s="7"/>
      <c r="G157" s="6"/>
      <c r="H157" s="8"/>
      <c r="I157" s="6"/>
      <c r="J157" s="14"/>
      <c r="K157" s="6"/>
      <c r="L157" s="6"/>
      <c r="M157" s="7"/>
      <c r="N157" s="6"/>
      <c r="O157" s="8"/>
      <c r="P157" s="6"/>
      <c r="Q157" s="14"/>
      <c r="R157" s="6"/>
      <c r="S157" s="7"/>
      <c r="T157" s="169"/>
      <c r="U157" s="8"/>
      <c r="V157" s="7"/>
      <c r="W157" s="6"/>
      <c r="X157" s="8"/>
      <c r="Y157" s="6"/>
      <c r="Z157" s="14"/>
      <c r="AA157" s="6"/>
      <c r="AB157" s="7"/>
    </row>
    <row r="158" spans="1:28" s="4" customFormat="1" ht="15.75" outlineLevel="2" x14ac:dyDescent="0.25">
      <c r="A158" s="30" t="s">
        <v>71</v>
      </c>
      <c r="C158" s="60" t="s">
        <v>71</v>
      </c>
      <c r="D158" s="6"/>
      <c r="E158" s="7"/>
      <c r="F158" s="7"/>
      <c r="G158" s="6"/>
      <c r="H158" s="8"/>
      <c r="I158" s="6"/>
      <c r="J158" s="14"/>
      <c r="K158" s="6"/>
      <c r="L158" s="6"/>
      <c r="M158" s="7"/>
      <c r="N158" s="6"/>
      <c r="O158" s="8"/>
      <c r="P158" s="6"/>
      <c r="Q158" s="14"/>
      <c r="R158" s="6"/>
      <c r="S158" s="7"/>
      <c r="T158" s="169"/>
      <c r="U158" s="8"/>
      <c r="V158" s="7"/>
      <c r="W158" s="6"/>
      <c r="X158" s="8"/>
      <c r="Y158" s="6"/>
      <c r="Z158" s="14"/>
      <c r="AA158" s="6"/>
      <c r="AB158" s="7"/>
    </row>
    <row r="159" spans="1:28" s="4" customFormat="1" ht="15.75" customHeight="1" outlineLevel="2" x14ac:dyDescent="0.25">
      <c r="A159" s="30" t="s">
        <v>71</v>
      </c>
      <c r="B159" s="6"/>
      <c r="C159" s="61" t="s">
        <v>70</v>
      </c>
      <c r="D159" s="6"/>
      <c r="E159" s="150">
        <v>145778.14000000001</v>
      </c>
      <c r="F159" s="7">
        <f>(E159/10)*12</f>
        <v>174933.76800000004</v>
      </c>
      <c r="G159" s="6"/>
      <c r="H159" s="8"/>
      <c r="I159" s="6"/>
      <c r="J159" s="9">
        <f>H159/$H$198</f>
        <v>0</v>
      </c>
      <c r="K159" s="6"/>
      <c r="L159" s="6"/>
      <c r="M159" s="19"/>
      <c r="N159" s="6"/>
      <c r="O159" s="8"/>
      <c r="P159" s="6"/>
      <c r="Q159" s="9">
        <f>O159/$O$198</f>
        <v>0</v>
      </c>
      <c r="R159" s="6"/>
      <c r="S159" s="7">
        <f>O159/12</f>
        <v>0</v>
      </c>
      <c r="T159" s="172"/>
      <c r="V159" s="19"/>
      <c r="W159" s="6"/>
      <c r="X159" s="8"/>
      <c r="Y159" s="6"/>
      <c r="Z159" s="9">
        <f>X159/$X$198</f>
        <v>0</v>
      </c>
      <c r="AA159" s="6"/>
      <c r="AB159" s="7">
        <f>X159/12</f>
        <v>0</v>
      </c>
    </row>
    <row r="160" spans="1:28" s="4" customFormat="1" ht="15.75" outlineLevel="2" x14ac:dyDescent="0.25">
      <c r="A160" s="30" t="s">
        <v>71</v>
      </c>
      <c r="B160" s="6"/>
      <c r="C160" s="61" t="s">
        <v>313</v>
      </c>
      <c r="D160" s="6"/>
      <c r="E160" s="7">
        <v>0</v>
      </c>
      <c r="F160" s="7">
        <f>(E160/10)*12</f>
        <v>0</v>
      </c>
      <c r="G160" s="6"/>
      <c r="H160" s="8">
        <v>500</v>
      </c>
      <c r="I160" s="6"/>
      <c r="J160" s="9">
        <f>H160/$H$198</f>
        <v>1.4138123186202504E-3</v>
      </c>
      <c r="K160" s="6"/>
      <c r="L160" s="6"/>
      <c r="M160" s="7"/>
      <c r="N160" s="6"/>
      <c r="O160" s="8">
        <v>500</v>
      </c>
      <c r="P160" s="6"/>
      <c r="Q160" s="9">
        <f>O160/$O$198</f>
        <v>1.6864867650758677E-3</v>
      </c>
      <c r="R160" s="6"/>
      <c r="S160" s="7">
        <f>O160/12</f>
        <v>41.666666666666664</v>
      </c>
      <c r="T160" s="169">
        <v>500</v>
      </c>
      <c r="U160" s="8">
        <f>(2520.77/8)*12</f>
        <v>3781.1549999999997</v>
      </c>
      <c r="V160" s="226" t="s">
        <v>252</v>
      </c>
      <c r="W160" s="6"/>
      <c r="X160" s="8">
        <v>1000</v>
      </c>
      <c r="Y160" s="6"/>
      <c r="Z160" s="9">
        <f>X160/$X$198</f>
        <v>3.099410492124398E-3</v>
      </c>
      <c r="AA160" s="6"/>
      <c r="AB160" s="7">
        <f>X160/12</f>
        <v>83.333333333333329</v>
      </c>
    </row>
    <row r="161" spans="1:28" s="4" customFormat="1" ht="15.75" outlineLevel="2" x14ac:dyDescent="0.25">
      <c r="A161" s="30" t="s">
        <v>71</v>
      </c>
      <c r="B161" s="6"/>
      <c r="C161" s="6" t="s">
        <v>68</v>
      </c>
      <c r="D161" s="6"/>
      <c r="E161" s="7">
        <v>12402</v>
      </c>
      <c r="F161" s="7">
        <f>(E161/10)*12</f>
        <v>14882.400000000001</v>
      </c>
      <c r="G161" s="6"/>
      <c r="H161" s="8">
        <v>8500</v>
      </c>
      <c r="I161" s="6"/>
      <c r="J161" s="9">
        <f>H161/$H$198</f>
        <v>2.4034809416544258E-2</v>
      </c>
      <c r="K161" s="6"/>
      <c r="L161" s="6"/>
      <c r="M161" s="7"/>
      <c r="N161" s="6"/>
      <c r="O161" s="8">
        <v>16000</v>
      </c>
      <c r="P161" s="6"/>
      <c r="Q161" s="9">
        <f>O161/$O$198</f>
        <v>5.3967576482427768E-2</v>
      </c>
      <c r="R161" s="6"/>
      <c r="S161" s="7">
        <f>O161/12</f>
        <v>1333.3333333333333</v>
      </c>
      <c r="T161" s="169">
        <v>16000</v>
      </c>
      <c r="U161" s="8">
        <f>(14192.59/10)*12</f>
        <v>17031.108</v>
      </c>
      <c r="V161" s="226" t="s">
        <v>251</v>
      </c>
      <c r="W161" s="6"/>
      <c r="X161" s="8">
        <v>17000</v>
      </c>
      <c r="Y161" s="6"/>
      <c r="Z161" s="9">
        <f>X161/$X$198</f>
        <v>5.2689978366114762E-2</v>
      </c>
      <c r="AA161" s="6"/>
      <c r="AB161" s="7">
        <f>X161/12</f>
        <v>1416.6666666666667</v>
      </c>
    </row>
    <row r="162" spans="1:28" s="4" customFormat="1" ht="15.75" outlineLevel="1" x14ac:dyDescent="0.25">
      <c r="A162" s="21" t="s">
        <v>122</v>
      </c>
      <c r="B162" s="24"/>
      <c r="C162" s="62"/>
      <c r="D162" s="24"/>
      <c r="E162" s="35">
        <f>SUBTOTAL(9,E158:E161)</f>
        <v>158180.14000000001</v>
      </c>
      <c r="F162" s="35">
        <f>SUBTOTAL(9,F158:F161)</f>
        <v>189816.16800000003</v>
      </c>
      <c r="G162" s="24"/>
      <c r="H162" s="35">
        <f>SUBTOTAL(9,H158:H161)</f>
        <v>9000</v>
      </c>
      <c r="I162" s="24"/>
      <c r="J162" s="26">
        <f>SUBTOTAL(9,J158:J161)</f>
        <v>2.544862173516451E-2</v>
      </c>
      <c r="K162" s="24"/>
      <c r="L162" s="24"/>
      <c r="M162" s="25">
        <f>SUBTOTAL(9,M158:M161)</f>
        <v>0</v>
      </c>
      <c r="N162" s="24"/>
      <c r="O162" s="35">
        <f>SUBTOTAL(9,O158:O161)</f>
        <v>16500</v>
      </c>
      <c r="P162" s="24"/>
      <c r="Q162" s="26">
        <f>SUBTOTAL(9,Q158:Q161)</f>
        <v>5.5654063247503632E-2</v>
      </c>
      <c r="R162" s="24"/>
      <c r="S162" s="25">
        <f>SUBTOTAL(9,S158:S161)</f>
        <v>1375</v>
      </c>
      <c r="T162" s="170">
        <f>SUBTOTAL(9,T157:T161)</f>
        <v>16500</v>
      </c>
      <c r="U162" s="35">
        <f>SUM(U160:U161)</f>
        <v>20812.262999999999</v>
      </c>
      <c r="V162" s="25">
        <v>1500</v>
      </c>
      <c r="W162" s="24"/>
      <c r="X162" s="35">
        <f>SUBTOTAL(9,X158:X161)</f>
        <v>18000</v>
      </c>
      <c r="Y162" s="24"/>
      <c r="Z162" s="26">
        <f>SUBTOTAL(9,Z158:Z161)</f>
        <v>5.5789388858239163E-2</v>
      </c>
      <c r="AA162" s="24"/>
      <c r="AB162" s="25">
        <f>SUBTOTAL(9,AB158:AB161)</f>
        <v>1500</v>
      </c>
    </row>
    <row r="163" spans="1:28" s="4" customFormat="1" ht="15.75" outlineLevel="1" x14ac:dyDescent="0.25">
      <c r="A163" s="6"/>
      <c r="B163" s="6"/>
      <c r="C163" s="61"/>
      <c r="D163" s="6"/>
      <c r="E163" s="7"/>
      <c r="F163" s="7"/>
      <c r="G163" s="6"/>
      <c r="H163" s="7"/>
      <c r="I163" s="6"/>
      <c r="J163" s="14"/>
      <c r="K163" s="6"/>
      <c r="L163" s="6"/>
      <c r="M163" s="7"/>
      <c r="N163" s="6"/>
      <c r="O163" s="7"/>
      <c r="P163" s="6"/>
      <c r="Q163" s="14"/>
      <c r="R163" s="6"/>
      <c r="S163" s="7"/>
      <c r="T163" s="169"/>
      <c r="U163" s="8"/>
      <c r="V163" s="7"/>
      <c r="W163" s="6"/>
      <c r="X163" s="7"/>
      <c r="Y163" s="6"/>
      <c r="Z163" s="14"/>
      <c r="AA163" s="6"/>
      <c r="AB163" s="7"/>
    </row>
    <row r="164" spans="1:28" s="4" customFormat="1" ht="15.75" outlineLevel="2" x14ac:dyDescent="0.25">
      <c r="A164" s="30" t="s">
        <v>72</v>
      </c>
      <c r="C164" s="60" t="s">
        <v>72</v>
      </c>
      <c r="D164" s="6"/>
      <c r="E164" s="7">
        <v>0</v>
      </c>
      <c r="F164" s="7">
        <f t="shared" ref="F164:F168" si="37">(E164/10)*12</f>
        <v>0</v>
      </c>
      <c r="G164" s="6"/>
      <c r="H164" s="8"/>
      <c r="I164" s="6"/>
      <c r="J164" s="14"/>
      <c r="K164" s="6"/>
      <c r="L164" s="6"/>
      <c r="M164" s="7"/>
      <c r="N164" s="6"/>
      <c r="O164" s="8"/>
      <c r="P164" s="6"/>
      <c r="Q164" s="14"/>
      <c r="R164" s="6"/>
      <c r="S164" s="7"/>
      <c r="T164" s="172"/>
      <c r="V164" s="18"/>
      <c r="W164" s="6"/>
      <c r="X164" s="8"/>
      <c r="Y164" s="6"/>
      <c r="Z164" s="14"/>
      <c r="AA164" s="6"/>
      <c r="AB164" s="7"/>
    </row>
    <row r="165" spans="1:28" s="4" customFormat="1" ht="15.75" outlineLevel="2" x14ac:dyDescent="0.25">
      <c r="A165" s="30" t="s">
        <v>72</v>
      </c>
      <c r="B165" s="5"/>
      <c r="C165" s="61" t="s">
        <v>73</v>
      </c>
      <c r="D165" s="6"/>
      <c r="E165" s="7">
        <v>2111.9299999999998</v>
      </c>
      <c r="F165" s="7">
        <f t="shared" si="37"/>
        <v>2534.3159999999998</v>
      </c>
      <c r="G165" s="6"/>
      <c r="H165" s="8">
        <v>3500</v>
      </c>
      <c r="I165" s="6"/>
      <c r="J165" s="9">
        <f t="shared" ref="J165:J172" si="38">H165/$H$198</f>
        <v>9.8966862303417526E-3</v>
      </c>
      <c r="K165" s="6"/>
      <c r="L165" s="6"/>
      <c r="M165" s="7"/>
      <c r="N165" s="6"/>
      <c r="O165" s="8">
        <v>3000</v>
      </c>
      <c r="P165" s="6"/>
      <c r="Q165" s="9">
        <f t="shared" ref="Q165:Q172" si="39">O165/$O$198</f>
        <v>1.0118920590455207E-2</v>
      </c>
      <c r="R165" s="6"/>
      <c r="S165" s="7">
        <f t="shared" ref="S165:S172" si="40">O165/12</f>
        <v>250</v>
      </c>
      <c r="T165" s="169">
        <v>3000</v>
      </c>
      <c r="U165" s="8">
        <f>(4018.98/10)*12</f>
        <v>4822.7759999999998</v>
      </c>
      <c r="V165" s="227" t="s">
        <v>254</v>
      </c>
      <c r="W165" s="6"/>
      <c r="X165" s="8">
        <v>3300</v>
      </c>
      <c r="Y165" s="6"/>
      <c r="Z165" s="9">
        <f t="shared" ref="Z165:Z172" si="41">X165/$X$198</f>
        <v>1.0228054624010514E-2</v>
      </c>
      <c r="AA165" s="6"/>
      <c r="AB165" s="7">
        <f t="shared" ref="AB165:AB167" si="42">X165/12</f>
        <v>275</v>
      </c>
    </row>
    <row r="166" spans="1:28" s="4" customFormat="1" ht="15.75" outlineLevel="2" x14ac:dyDescent="0.25">
      <c r="A166" s="30" t="s">
        <v>72</v>
      </c>
      <c r="B166" s="5"/>
      <c r="C166" s="61" t="s">
        <v>74</v>
      </c>
      <c r="D166" s="6"/>
      <c r="E166" s="7">
        <v>2049</v>
      </c>
      <c r="F166" s="7">
        <f t="shared" si="37"/>
        <v>2458.8000000000002</v>
      </c>
      <c r="G166" s="6"/>
      <c r="H166" s="8">
        <v>2000</v>
      </c>
      <c r="I166" s="6"/>
      <c r="J166" s="9">
        <f t="shared" si="38"/>
        <v>5.6552492744810015E-3</v>
      </c>
      <c r="K166" s="6"/>
      <c r="L166" s="6"/>
      <c r="M166" s="7"/>
      <c r="N166" s="6"/>
      <c r="O166" s="8">
        <v>2000</v>
      </c>
      <c r="P166" s="6"/>
      <c r="Q166" s="9">
        <f t="shared" si="39"/>
        <v>6.745947060303471E-3</v>
      </c>
      <c r="R166" s="6"/>
      <c r="S166" s="7">
        <f t="shared" si="40"/>
        <v>166.66666666666666</v>
      </c>
      <c r="T166" s="169">
        <v>2000</v>
      </c>
      <c r="U166" s="8">
        <f>(2876.94/10)*12</f>
        <v>3452.3280000000004</v>
      </c>
      <c r="V166" s="18"/>
      <c r="W166" s="6"/>
      <c r="X166" s="8">
        <v>2000</v>
      </c>
      <c r="Y166" s="6"/>
      <c r="Z166" s="9">
        <f t="shared" si="41"/>
        <v>6.198820984248796E-3</v>
      </c>
      <c r="AA166" s="6"/>
      <c r="AB166" s="7">
        <f t="shared" si="42"/>
        <v>166.66666666666666</v>
      </c>
    </row>
    <row r="167" spans="1:28" s="4" customFormat="1" ht="15.75" outlineLevel="2" x14ac:dyDescent="0.25">
      <c r="A167" s="30" t="s">
        <v>72</v>
      </c>
      <c r="B167" s="5"/>
      <c r="C167" s="61" t="s">
        <v>75</v>
      </c>
      <c r="D167" s="6"/>
      <c r="E167" s="7">
        <v>1502.08</v>
      </c>
      <c r="F167" s="7">
        <f t="shared" si="37"/>
        <v>1802.4960000000001</v>
      </c>
      <c r="G167" s="6"/>
      <c r="H167" s="8">
        <v>3000</v>
      </c>
      <c r="I167" s="6"/>
      <c r="J167" s="9">
        <f t="shared" si="38"/>
        <v>8.4828739117215023E-3</v>
      </c>
      <c r="K167" s="6"/>
      <c r="L167" s="6"/>
      <c r="M167" s="7"/>
      <c r="N167" s="6"/>
      <c r="O167" s="8">
        <v>2000</v>
      </c>
      <c r="P167" s="6"/>
      <c r="Q167" s="9">
        <f t="shared" si="39"/>
        <v>6.745947060303471E-3</v>
      </c>
      <c r="R167" s="6"/>
      <c r="S167" s="7">
        <f t="shared" si="40"/>
        <v>166.66666666666666</v>
      </c>
      <c r="T167" s="169">
        <v>2000</v>
      </c>
      <c r="U167" s="8">
        <f>(2464.62/10)*12</f>
        <v>2957.5439999999999</v>
      </c>
      <c r="V167" s="227" t="s">
        <v>251</v>
      </c>
      <c r="W167" s="6"/>
      <c r="X167" s="8">
        <v>3000</v>
      </c>
      <c r="Y167" s="6"/>
      <c r="Z167" s="9">
        <f t="shared" si="41"/>
        <v>9.2982314763731932E-3</v>
      </c>
      <c r="AA167" s="6"/>
      <c r="AB167" s="7">
        <f t="shared" si="42"/>
        <v>250</v>
      </c>
    </row>
    <row r="168" spans="1:28" s="4" customFormat="1" ht="15.75" outlineLevel="2" x14ac:dyDescent="0.25">
      <c r="A168" s="30" t="s">
        <v>72</v>
      </c>
      <c r="B168" s="5"/>
      <c r="C168" s="61" t="s">
        <v>76</v>
      </c>
      <c r="D168" s="6"/>
      <c r="E168" s="7">
        <v>636</v>
      </c>
      <c r="F168" s="7">
        <f t="shared" si="37"/>
        <v>763.2</v>
      </c>
      <c r="G168" s="6"/>
      <c r="H168" s="8">
        <v>760</v>
      </c>
      <c r="I168" s="6"/>
      <c r="J168" s="9">
        <f t="shared" si="38"/>
        <v>2.1489947243027805E-3</v>
      </c>
      <c r="K168" s="6"/>
      <c r="L168" s="6"/>
      <c r="M168" s="7"/>
      <c r="N168" s="6"/>
      <c r="O168" s="8">
        <v>800</v>
      </c>
      <c r="P168" s="6"/>
      <c r="Q168" s="9">
        <f t="shared" si="39"/>
        <v>2.6983788241213883E-3</v>
      </c>
      <c r="R168" s="6"/>
      <c r="S168" s="7">
        <f t="shared" si="40"/>
        <v>66.666666666666671</v>
      </c>
      <c r="T168" s="169">
        <v>800</v>
      </c>
      <c r="U168" s="8">
        <f>(798/10)*12</f>
        <v>957.59999999999991</v>
      </c>
      <c r="V168" s="18">
        <v>-300</v>
      </c>
      <c r="W168" s="6"/>
      <c r="X168" s="8">
        <v>500</v>
      </c>
      <c r="Y168" s="6"/>
      <c r="Z168" s="9">
        <f t="shared" si="41"/>
        <v>1.549705246062199E-3</v>
      </c>
      <c r="AA168" s="6"/>
      <c r="AB168" s="7">
        <f t="shared" ref="AB168:AB172" si="43">X168/12</f>
        <v>41.666666666666664</v>
      </c>
    </row>
    <row r="169" spans="1:28" s="4" customFormat="1" ht="15.75" outlineLevel="2" x14ac:dyDescent="0.25">
      <c r="A169" s="30" t="s">
        <v>72</v>
      </c>
      <c r="B169" s="6"/>
      <c r="C169" s="61" t="s">
        <v>184</v>
      </c>
      <c r="D169" s="6"/>
      <c r="F169" s="7"/>
      <c r="G169" s="6"/>
      <c r="H169" s="8">
        <v>3100</v>
      </c>
      <c r="I169" s="6"/>
      <c r="J169" s="9">
        <f t="shared" si="38"/>
        <v>8.7656363754455534E-3</v>
      </c>
      <c r="K169" s="6"/>
      <c r="L169" s="6"/>
      <c r="M169" s="7"/>
      <c r="N169" s="6"/>
      <c r="O169" s="126"/>
      <c r="P169" s="6"/>
      <c r="Q169" s="9">
        <f t="shared" si="39"/>
        <v>0</v>
      </c>
      <c r="R169" s="6"/>
      <c r="S169" s="7">
        <f t="shared" si="40"/>
        <v>0</v>
      </c>
      <c r="T169" s="173"/>
      <c r="U169" s="8">
        <f>(5613.21/10)*12</f>
        <v>6735.8520000000008</v>
      </c>
      <c r="V169" s="18">
        <v>-735</v>
      </c>
      <c r="W169" s="6"/>
      <c r="X169" s="8">
        <v>6000</v>
      </c>
      <c r="Y169" s="6"/>
      <c r="Z169" s="9">
        <f t="shared" si="41"/>
        <v>1.8596462952746386E-2</v>
      </c>
      <c r="AA169" s="6"/>
      <c r="AB169" s="7">
        <f t="shared" si="43"/>
        <v>500</v>
      </c>
    </row>
    <row r="170" spans="1:28" s="4" customFormat="1" ht="15.75" outlineLevel="2" x14ac:dyDescent="0.25">
      <c r="A170" s="30" t="s">
        <v>72</v>
      </c>
      <c r="B170" s="5"/>
      <c r="C170" s="61" t="s">
        <v>77</v>
      </c>
      <c r="D170" s="6"/>
      <c r="E170" s="7">
        <v>1648.69</v>
      </c>
      <c r="F170" s="7">
        <f>(E170/10)*12</f>
        <v>1978.4279999999999</v>
      </c>
      <c r="G170" s="6"/>
      <c r="H170" s="8">
        <v>6000</v>
      </c>
      <c r="I170" s="6"/>
      <c r="J170" s="9">
        <f t="shared" si="38"/>
        <v>1.6965747823443005E-2</v>
      </c>
      <c r="K170" s="6"/>
      <c r="L170" s="6"/>
      <c r="M170" s="7"/>
      <c r="N170" s="6"/>
      <c r="O170" s="8">
        <v>3000</v>
      </c>
      <c r="P170" s="6"/>
      <c r="Q170" s="9">
        <f t="shared" si="39"/>
        <v>1.0118920590455207E-2</v>
      </c>
      <c r="R170" s="6"/>
      <c r="S170" s="7">
        <f t="shared" si="40"/>
        <v>250</v>
      </c>
      <c r="T170" s="169">
        <v>3000</v>
      </c>
      <c r="U170" s="8">
        <f>(3106.7/10)*12</f>
        <v>3728.0399999999995</v>
      </c>
      <c r="V170" s="18" t="s">
        <v>259</v>
      </c>
      <c r="W170" s="6"/>
      <c r="X170" s="8">
        <v>4000</v>
      </c>
      <c r="Y170" s="6"/>
      <c r="Z170" s="9">
        <f t="shared" si="41"/>
        <v>1.2397641968497592E-2</v>
      </c>
      <c r="AA170" s="6"/>
      <c r="AB170" s="7">
        <f t="shared" si="43"/>
        <v>333.33333333333331</v>
      </c>
    </row>
    <row r="171" spans="1:28" s="4" customFormat="1" ht="15.75" outlineLevel="2" x14ac:dyDescent="0.25">
      <c r="A171" s="30" t="s">
        <v>72</v>
      </c>
      <c r="B171" s="5"/>
      <c r="C171" s="61" t="s">
        <v>78</v>
      </c>
      <c r="D171" s="6"/>
      <c r="E171" s="7">
        <v>212.54</v>
      </c>
      <c r="F171" s="7">
        <f>(E171/10)*12</f>
        <v>255.04799999999997</v>
      </c>
      <c r="G171" s="6"/>
      <c r="H171" s="8">
        <v>500</v>
      </c>
      <c r="I171" s="6"/>
      <c r="J171" s="9">
        <f t="shared" si="38"/>
        <v>1.4138123186202504E-3</v>
      </c>
      <c r="K171" s="6"/>
      <c r="L171" s="6"/>
      <c r="M171" s="7"/>
      <c r="N171" s="6"/>
      <c r="O171" s="8">
        <v>500</v>
      </c>
      <c r="P171" s="6"/>
      <c r="Q171" s="9">
        <f t="shared" si="39"/>
        <v>1.6864867650758677E-3</v>
      </c>
      <c r="R171" s="6"/>
      <c r="S171" s="7">
        <f t="shared" si="40"/>
        <v>41.666666666666664</v>
      </c>
      <c r="T171" s="169">
        <v>500</v>
      </c>
      <c r="U171" s="8">
        <f>(267.52/10)*12</f>
        <v>321.024</v>
      </c>
      <c r="V171" s="18"/>
      <c r="W171" s="6"/>
      <c r="X171" s="8">
        <v>500</v>
      </c>
      <c r="Y171" s="6"/>
      <c r="Z171" s="9">
        <f t="shared" si="41"/>
        <v>1.549705246062199E-3</v>
      </c>
      <c r="AA171" s="6"/>
      <c r="AB171" s="7">
        <f t="shared" si="43"/>
        <v>41.666666666666664</v>
      </c>
    </row>
    <row r="172" spans="1:28" s="4" customFormat="1" ht="15.75" outlineLevel="2" x14ac:dyDescent="0.25">
      <c r="A172" s="30" t="s">
        <v>72</v>
      </c>
      <c r="B172" s="5"/>
      <c r="C172" s="61" t="s">
        <v>79</v>
      </c>
      <c r="D172" s="6"/>
      <c r="E172" s="7">
        <v>675.59</v>
      </c>
      <c r="F172" s="7">
        <f>(E172/10)*12</f>
        <v>810.70799999999997</v>
      </c>
      <c r="G172" s="6"/>
      <c r="H172" s="8">
        <v>700</v>
      </c>
      <c r="I172" s="6"/>
      <c r="J172" s="9">
        <f t="shared" si="38"/>
        <v>1.9793372460683504E-3</v>
      </c>
      <c r="K172" s="6"/>
      <c r="L172" s="6"/>
      <c r="M172" s="7"/>
      <c r="N172" s="6"/>
      <c r="O172" s="8">
        <v>900</v>
      </c>
      <c r="P172" s="6"/>
      <c r="Q172" s="9">
        <f t="shared" si="39"/>
        <v>3.0356761771365621E-3</v>
      </c>
      <c r="R172" s="6"/>
      <c r="S172" s="7">
        <f t="shared" si="40"/>
        <v>75</v>
      </c>
      <c r="T172" s="169">
        <v>900</v>
      </c>
      <c r="U172" s="8">
        <f>(1000.41/8)*12</f>
        <v>1500.615</v>
      </c>
      <c r="V172" s="18">
        <v>-100</v>
      </c>
      <c r="W172" s="6"/>
      <c r="X172" s="8">
        <v>800</v>
      </c>
      <c r="Y172" s="6"/>
      <c r="Z172" s="9">
        <f t="shared" si="41"/>
        <v>2.4795283936995182E-3</v>
      </c>
      <c r="AA172" s="6"/>
      <c r="AB172" s="7">
        <f t="shared" si="43"/>
        <v>66.666666666666671</v>
      </c>
    </row>
    <row r="173" spans="1:28" s="4" customFormat="1" ht="15.75" outlineLevel="1" x14ac:dyDescent="0.25">
      <c r="A173" s="21" t="s">
        <v>123</v>
      </c>
      <c r="B173" s="23"/>
      <c r="C173" s="62"/>
      <c r="D173" s="24"/>
      <c r="E173" s="35">
        <f>SUBTOTAL(9,E164:E172)</f>
        <v>8835.83</v>
      </c>
      <c r="F173" s="35">
        <f>SUBTOTAL(9,F164:F172)</f>
        <v>10602.996000000001</v>
      </c>
      <c r="G173" s="24"/>
      <c r="H173" s="35">
        <f>SUBTOTAL(9,H164:H172)</f>
        <v>19560</v>
      </c>
      <c r="I173" s="24"/>
      <c r="J173" s="26">
        <f>SUBTOTAL(9,J164:J172)</f>
        <v>5.5308337904424194E-2</v>
      </c>
      <c r="K173" s="24"/>
      <c r="L173" s="24"/>
      <c r="M173" s="25">
        <f>SUBTOTAL(9,M164:M172)</f>
        <v>0</v>
      </c>
      <c r="N173" s="24"/>
      <c r="O173" s="35">
        <f>SUBTOTAL(9,O164:O172)</f>
        <v>12200</v>
      </c>
      <c r="P173" s="24"/>
      <c r="Q173" s="26">
        <f>SUBTOTAL(9,Q164:Q172)</f>
        <v>4.1150277067851168E-2</v>
      </c>
      <c r="R173" s="24"/>
      <c r="S173" s="25">
        <f>SUBTOTAL(9,S164:S172)</f>
        <v>1016.6666666666665</v>
      </c>
      <c r="T173" s="170">
        <f>SUBTOTAL(9,T163:T172)</f>
        <v>12200</v>
      </c>
      <c r="U173" s="35">
        <f>SUM(U165:U172)</f>
        <v>24475.779000000002</v>
      </c>
      <c r="V173" s="25">
        <f>300+1000-300-735+1000-100</f>
        <v>1165</v>
      </c>
      <c r="W173" s="24"/>
      <c r="X173" s="35">
        <f>SUBTOTAL(9,X164:X172)</f>
        <v>20100</v>
      </c>
      <c r="Y173" s="24"/>
      <c r="Z173" s="26">
        <f>SUBTOTAL(9,Z164:Z172)</f>
        <v>6.2298150891700398E-2</v>
      </c>
      <c r="AA173" s="24"/>
      <c r="AB173" s="25">
        <f>SUBTOTAL(9,AB164:AB172)</f>
        <v>1675</v>
      </c>
    </row>
    <row r="174" spans="1:28" s="4" customFormat="1" ht="15.75" outlineLevel="1" x14ac:dyDescent="0.25">
      <c r="A174" s="6"/>
      <c r="B174" s="5"/>
      <c r="C174" s="60"/>
      <c r="D174" s="6"/>
      <c r="E174" s="7"/>
      <c r="F174" s="7"/>
      <c r="G174" s="6"/>
      <c r="H174" s="8"/>
      <c r="I174" s="6"/>
      <c r="J174" s="14"/>
      <c r="K174" s="6"/>
      <c r="L174" s="6"/>
      <c r="M174" s="7"/>
      <c r="N174" s="6"/>
      <c r="O174" s="8"/>
      <c r="P174" s="6"/>
      <c r="Q174" s="14"/>
      <c r="R174" s="6"/>
      <c r="S174" s="7"/>
      <c r="T174" s="172"/>
      <c r="V174" s="7"/>
      <c r="W174" s="6"/>
      <c r="X174" s="8"/>
      <c r="Y174" s="6"/>
      <c r="Z174" s="14"/>
      <c r="AA174" s="6"/>
      <c r="AB174" s="7"/>
    </row>
    <row r="175" spans="1:28" s="4" customFormat="1" ht="15.75" outlineLevel="2" x14ac:dyDescent="0.25">
      <c r="A175" s="30" t="s">
        <v>37</v>
      </c>
      <c r="C175" s="5" t="s">
        <v>37</v>
      </c>
      <c r="D175" s="6"/>
      <c r="E175" s="7"/>
      <c r="F175" s="7"/>
      <c r="G175" s="6"/>
      <c r="H175" s="8"/>
      <c r="I175" s="6"/>
      <c r="J175" s="14"/>
      <c r="K175" s="6"/>
      <c r="L175" s="6"/>
      <c r="M175" s="8">
        <f>O176/624</f>
        <v>22.970256410256411</v>
      </c>
      <c r="N175" s="6"/>
      <c r="P175" s="6"/>
      <c r="Q175" s="14"/>
      <c r="R175" s="6"/>
      <c r="S175" s="7"/>
      <c r="T175" s="172"/>
      <c r="V175" s="8"/>
      <c r="W175" s="6"/>
      <c r="Y175" s="6"/>
      <c r="Z175" s="14"/>
      <c r="AA175" s="6"/>
      <c r="AB175" s="7"/>
    </row>
    <row r="176" spans="1:28" s="4" customFormat="1" ht="15.75" outlineLevel="2" x14ac:dyDescent="0.25">
      <c r="A176" s="30" t="s">
        <v>37</v>
      </c>
      <c r="B176" s="5"/>
      <c r="C176" s="61" t="s">
        <v>143</v>
      </c>
      <c r="D176" s="6"/>
      <c r="E176" s="18">
        <v>11495.69</v>
      </c>
      <c r="F176" s="7">
        <f t="shared" ref="F176:F182" si="44">(E176/10)*12</f>
        <v>13794.828</v>
      </c>
      <c r="G176" s="6"/>
      <c r="H176" s="8">
        <v>11487</v>
      </c>
      <c r="I176" s="6"/>
      <c r="J176" s="9">
        <f t="shared" ref="J176:J182" si="45">H176/$H$198</f>
        <v>3.2480924207981633E-2</v>
      </c>
      <c r="K176" s="6"/>
      <c r="L176" s="6"/>
      <c r="M176" s="11" t="s">
        <v>163</v>
      </c>
      <c r="N176" s="6"/>
      <c r="O176" s="126">
        <v>14333.44</v>
      </c>
      <c r="P176" s="6"/>
      <c r="Q176" s="9">
        <f t="shared" ref="Q176:Q182" si="46">O176/$O$198</f>
        <v>4.8346313716018094E-2</v>
      </c>
      <c r="R176" s="6"/>
      <c r="S176" s="7">
        <f t="shared" ref="S176:S182" si="47">O176/12</f>
        <v>1194.4533333333334</v>
      </c>
      <c r="T176" s="169">
        <v>14333.44</v>
      </c>
      <c r="U176" s="8">
        <f>(9879.04/10)*12</f>
        <v>11854.848000000002</v>
      </c>
      <c r="V176" s="18" t="s">
        <v>318</v>
      </c>
      <c r="W176" s="6"/>
      <c r="X176" s="8">
        <v>11353</v>
      </c>
      <c r="Y176" s="6"/>
      <c r="Z176" s="9">
        <f t="shared" ref="Z176:Z182" si="48">X176/$X$198</f>
        <v>3.5187607317088289E-2</v>
      </c>
      <c r="AA176" s="6"/>
      <c r="AB176" s="7">
        <f t="shared" ref="AB176:AB182" si="49">X176/12</f>
        <v>946.08333333333337</v>
      </c>
    </row>
    <row r="177" spans="1:28" s="4" customFormat="1" ht="15.75" outlineLevel="2" x14ac:dyDescent="0.25">
      <c r="A177" s="30" t="s">
        <v>37</v>
      </c>
      <c r="B177" s="5"/>
      <c r="C177" s="6" t="s">
        <v>81</v>
      </c>
      <c r="D177" s="6"/>
      <c r="E177" s="7">
        <v>0</v>
      </c>
      <c r="F177" s="7">
        <f t="shared" si="44"/>
        <v>0</v>
      </c>
      <c r="G177" s="6"/>
      <c r="H177" s="8">
        <v>2000</v>
      </c>
      <c r="I177" s="6"/>
      <c r="J177" s="9">
        <f t="shared" si="45"/>
        <v>5.6552492744810015E-3</v>
      </c>
      <c r="K177" s="6"/>
      <c r="L177" s="6"/>
      <c r="M177" s="7"/>
      <c r="N177" s="6"/>
      <c r="O177" s="8">
        <v>2000</v>
      </c>
      <c r="P177" s="6"/>
      <c r="Q177" s="9">
        <f t="shared" si="46"/>
        <v>6.745947060303471E-3</v>
      </c>
      <c r="R177" s="6"/>
      <c r="S177" s="7">
        <f t="shared" si="47"/>
        <v>166.66666666666666</v>
      </c>
      <c r="T177" s="169">
        <v>2000</v>
      </c>
      <c r="U177" s="8">
        <f>(900/10)*12</f>
        <v>1080</v>
      </c>
      <c r="V177" s="18"/>
      <c r="W177" s="6"/>
      <c r="X177" s="8">
        <v>2000</v>
      </c>
      <c r="Y177" s="6"/>
      <c r="Z177" s="9">
        <f t="shared" si="48"/>
        <v>6.198820984248796E-3</v>
      </c>
      <c r="AA177" s="6"/>
      <c r="AB177" s="7">
        <f t="shared" si="49"/>
        <v>166.66666666666666</v>
      </c>
    </row>
    <row r="178" spans="1:28" s="4" customFormat="1" ht="15.75" outlineLevel="2" x14ac:dyDescent="0.25">
      <c r="A178" s="30" t="s">
        <v>37</v>
      </c>
      <c r="B178" s="5"/>
      <c r="C178" s="6" t="s">
        <v>82</v>
      </c>
      <c r="D178" s="6"/>
      <c r="E178" s="7">
        <v>7765</v>
      </c>
      <c r="F178" s="7">
        <f t="shared" si="44"/>
        <v>9318</v>
      </c>
      <c r="G178" s="6"/>
      <c r="H178" s="8">
        <v>8000</v>
      </c>
      <c r="I178" s="6"/>
      <c r="J178" s="9">
        <f t="shared" si="45"/>
        <v>2.2620997097924006E-2</v>
      </c>
      <c r="K178" s="6"/>
      <c r="L178" s="6"/>
      <c r="M178" s="7"/>
      <c r="N178" s="6"/>
      <c r="O178" s="8">
        <v>10000</v>
      </c>
      <c r="P178" s="6"/>
      <c r="Q178" s="9">
        <f t="shared" si="46"/>
        <v>3.3729735301517356E-2</v>
      </c>
      <c r="R178" s="6"/>
      <c r="S178" s="7">
        <f t="shared" si="47"/>
        <v>833.33333333333337</v>
      </c>
      <c r="T178" s="169">
        <v>10000</v>
      </c>
      <c r="U178" s="8">
        <f>(10235/10)*12</f>
        <v>12282</v>
      </c>
      <c r="V178" s="227" t="s">
        <v>255</v>
      </c>
      <c r="W178" s="6"/>
      <c r="X178" s="8">
        <v>13000</v>
      </c>
      <c r="Y178" s="6"/>
      <c r="Z178" s="9">
        <f t="shared" si="48"/>
        <v>4.0292336397617173E-2</v>
      </c>
      <c r="AA178" s="6"/>
      <c r="AB178" s="7">
        <f t="shared" si="49"/>
        <v>1083.3333333333333</v>
      </c>
    </row>
    <row r="179" spans="1:28" s="4" customFormat="1" ht="15.75" outlineLevel="2" x14ac:dyDescent="0.25">
      <c r="A179" s="30" t="s">
        <v>37</v>
      </c>
      <c r="B179" s="5"/>
      <c r="C179" s="6" t="s">
        <v>83</v>
      </c>
      <c r="D179" s="6"/>
      <c r="E179" s="7">
        <v>5478.32</v>
      </c>
      <c r="F179" s="7">
        <f t="shared" si="44"/>
        <v>6573.9840000000004</v>
      </c>
      <c r="G179" s="6"/>
      <c r="H179" s="8">
        <v>4000</v>
      </c>
      <c r="I179" s="6"/>
      <c r="J179" s="9">
        <f t="shared" si="45"/>
        <v>1.1310498548962003E-2</v>
      </c>
      <c r="K179" s="6"/>
      <c r="L179" s="6"/>
      <c r="M179" s="7"/>
      <c r="N179" s="6"/>
      <c r="O179" s="8">
        <v>1620</v>
      </c>
      <c r="P179" s="6"/>
      <c r="Q179" s="9">
        <f t="shared" si="46"/>
        <v>5.464217118845812E-3</v>
      </c>
      <c r="R179" s="6"/>
      <c r="S179" s="7">
        <f t="shared" si="47"/>
        <v>135</v>
      </c>
      <c r="T179" s="169">
        <v>1620</v>
      </c>
      <c r="U179" s="8">
        <f>(5300.39/10)*12</f>
        <v>6360.4679999999998</v>
      </c>
      <c r="V179" s="227" t="s">
        <v>256</v>
      </c>
      <c r="W179" s="6"/>
      <c r="X179" s="8">
        <v>5000</v>
      </c>
      <c r="Y179" s="6"/>
      <c r="Z179" s="9">
        <f t="shared" si="48"/>
        <v>1.5497052460621989E-2</v>
      </c>
      <c r="AA179" s="6"/>
      <c r="AB179" s="7">
        <f t="shared" si="49"/>
        <v>416.66666666666669</v>
      </c>
    </row>
    <row r="180" spans="1:28" s="4" customFormat="1" ht="15.75" outlineLevel="2" x14ac:dyDescent="0.25">
      <c r="A180" s="30" t="s">
        <v>37</v>
      </c>
      <c r="B180" s="6"/>
      <c r="C180" s="61" t="s">
        <v>84</v>
      </c>
      <c r="D180" s="6"/>
      <c r="E180" s="7">
        <v>0</v>
      </c>
      <c r="F180" s="7">
        <f t="shared" si="44"/>
        <v>0</v>
      </c>
      <c r="G180" s="6"/>
      <c r="H180" s="8">
        <v>300</v>
      </c>
      <c r="I180" s="6"/>
      <c r="J180" s="9">
        <f t="shared" si="45"/>
        <v>8.4828739117215031E-4</v>
      </c>
      <c r="K180" s="6"/>
      <c r="L180" s="6"/>
      <c r="M180" s="7"/>
      <c r="N180" s="6"/>
      <c r="O180" s="8">
        <v>300</v>
      </c>
      <c r="P180" s="6"/>
      <c r="Q180" s="9">
        <f t="shared" si="46"/>
        <v>1.0118920590455208E-3</v>
      </c>
      <c r="R180" s="6"/>
      <c r="S180" s="7">
        <f t="shared" si="47"/>
        <v>25</v>
      </c>
      <c r="T180" s="169">
        <v>300</v>
      </c>
      <c r="U180" s="8">
        <v>0</v>
      </c>
      <c r="V180" s="18">
        <v>-200</v>
      </c>
      <c r="W180" s="6"/>
      <c r="X180" s="8">
        <v>100</v>
      </c>
      <c r="Y180" s="6"/>
      <c r="Z180" s="9">
        <f t="shared" si="48"/>
        <v>3.0994104921243978E-4</v>
      </c>
      <c r="AA180" s="6"/>
      <c r="AB180" s="7">
        <f t="shared" si="49"/>
        <v>8.3333333333333339</v>
      </c>
    </row>
    <row r="181" spans="1:28" s="4" customFormat="1" ht="15.75" outlineLevel="2" x14ac:dyDescent="0.25">
      <c r="A181" s="30"/>
      <c r="B181" s="6"/>
      <c r="C181" s="61" t="s">
        <v>250</v>
      </c>
      <c r="D181" s="6"/>
      <c r="E181" s="7"/>
      <c r="F181" s="7"/>
      <c r="G181" s="6"/>
      <c r="H181" s="8"/>
      <c r="I181" s="6"/>
      <c r="J181" s="9"/>
      <c r="K181" s="6"/>
      <c r="L181" s="6"/>
      <c r="M181" s="7"/>
      <c r="N181" s="6"/>
      <c r="O181" s="8"/>
      <c r="P181" s="6"/>
      <c r="Q181" s="9"/>
      <c r="R181" s="6"/>
      <c r="S181" s="7"/>
      <c r="T181" s="169"/>
      <c r="U181" s="8"/>
      <c r="V181" s="18">
        <v>24.41</v>
      </c>
      <c r="W181" s="6"/>
      <c r="X181" s="8">
        <v>16398</v>
      </c>
      <c r="Y181" s="6"/>
      <c r="Z181" s="9">
        <f t="shared" si="48"/>
        <v>5.082413324985588E-2</v>
      </c>
      <c r="AA181" s="6"/>
      <c r="AB181" s="7">
        <f t="shared" si="49"/>
        <v>1366.5</v>
      </c>
    </row>
    <row r="182" spans="1:28" s="4" customFormat="1" ht="15.75" outlineLevel="2" x14ac:dyDescent="0.25">
      <c r="A182" s="30" t="s">
        <v>37</v>
      </c>
      <c r="B182" s="5"/>
      <c r="C182" s="6" t="s">
        <v>80</v>
      </c>
      <c r="D182" s="6"/>
      <c r="E182" s="7">
        <v>249.66</v>
      </c>
      <c r="F182" s="7">
        <f t="shared" si="44"/>
        <v>299.59199999999998</v>
      </c>
      <c r="G182" s="6"/>
      <c r="H182" s="8">
        <v>500</v>
      </c>
      <c r="I182" s="6"/>
      <c r="J182" s="9">
        <f t="shared" si="45"/>
        <v>1.4138123186202504E-3</v>
      </c>
      <c r="K182" s="6"/>
      <c r="L182" s="6"/>
      <c r="M182" s="7"/>
      <c r="N182" s="6"/>
      <c r="O182" s="8">
        <v>500</v>
      </c>
      <c r="P182" s="6"/>
      <c r="Q182" s="9">
        <f t="shared" si="46"/>
        <v>1.6864867650758677E-3</v>
      </c>
      <c r="R182" s="6"/>
      <c r="S182" s="7">
        <f t="shared" si="47"/>
        <v>41.666666666666664</v>
      </c>
      <c r="T182" s="169">
        <v>500</v>
      </c>
      <c r="U182" s="8">
        <f>(628.7/10)*12</f>
        <v>754.44</v>
      </c>
      <c r="V182" s="227" t="s">
        <v>252</v>
      </c>
      <c r="W182" s="6"/>
      <c r="X182" s="8">
        <v>1000</v>
      </c>
      <c r="Y182" s="6"/>
      <c r="Z182" s="9">
        <f t="shared" si="48"/>
        <v>3.099410492124398E-3</v>
      </c>
      <c r="AA182" s="6"/>
      <c r="AB182" s="7">
        <f t="shared" si="49"/>
        <v>83.333333333333329</v>
      </c>
    </row>
    <row r="183" spans="1:28" s="4" customFormat="1" ht="15.75" outlineLevel="1" x14ac:dyDescent="0.25">
      <c r="A183" s="21" t="s">
        <v>124</v>
      </c>
      <c r="B183" s="23"/>
      <c r="C183" s="62"/>
      <c r="D183" s="24"/>
      <c r="E183" s="35">
        <f>SUBTOTAL(9,E175:E182)</f>
        <v>24988.670000000002</v>
      </c>
      <c r="F183" s="35">
        <f>SUBTOTAL(9,F175:F182)</f>
        <v>29986.404000000002</v>
      </c>
      <c r="G183" s="24"/>
      <c r="H183" s="35">
        <f>SUBTOTAL(9,H175:H182)</f>
        <v>26287</v>
      </c>
      <c r="I183" s="24"/>
      <c r="J183" s="26">
        <f>SUBTOTAL(9,J175:J182)</f>
        <v>7.4329768839141053E-2</v>
      </c>
      <c r="K183" s="24"/>
      <c r="L183" s="24"/>
      <c r="M183" s="25">
        <f>SUBTOTAL(9,M175:M182)</f>
        <v>22.970256410256411</v>
      </c>
      <c r="N183" s="24"/>
      <c r="O183" s="35">
        <f>SUBTOTAL(9,O175:O182)</f>
        <v>28753.440000000002</v>
      </c>
      <c r="P183" s="24"/>
      <c r="Q183" s="26">
        <f>SUBTOTAL(9,Q175:Q182)</f>
        <v>9.6984592020806115E-2</v>
      </c>
      <c r="R183" s="24"/>
      <c r="S183" s="25">
        <f>SUBTOTAL(9,S175:S182)</f>
        <v>2396.12</v>
      </c>
      <c r="T183" s="170">
        <f>SUBTOTAL(9,T174:T182)</f>
        <v>28753.440000000002</v>
      </c>
      <c r="U183" s="35">
        <f>SUM(U176:U182)</f>
        <v>32331.756000000001</v>
      </c>
      <c r="V183" s="25">
        <f>3000+3380-200+16794+500</f>
        <v>23474</v>
      </c>
      <c r="W183" s="24"/>
      <c r="X183" s="35">
        <f>SUBTOTAL(9,X175:X182)</f>
        <v>48851</v>
      </c>
      <c r="Y183" s="24"/>
      <c r="Z183" s="26">
        <f>SUBTOTAL(9,Z175:Z182)</f>
        <v>0.15140930195076893</v>
      </c>
      <c r="AA183" s="24"/>
      <c r="AB183" s="25">
        <f>SUBTOTAL(9,AB175:AB182)</f>
        <v>4070.9166666666665</v>
      </c>
    </row>
    <row r="184" spans="1:28" s="4" customFormat="1" ht="15.75" outlineLevel="1" x14ac:dyDescent="0.25">
      <c r="A184" s="6"/>
      <c r="B184" s="6"/>
      <c r="C184" s="61"/>
      <c r="D184" s="6"/>
      <c r="E184" s="7"/>
      <c r="F184" s="7"/>
      <c r="G184" s="6"/>
      <c r="H184" s="7"/>
      <c r="I184" s="6"/>
      <c r="J184" s="14"/>
      <c r="K184" s="6"/>
      <c r="L184" s="6"/>
      <c r="M184" s="7"/>
      <c r="N184" s="6"/>
      <c r="O184" s="7"/>
      <c r="P184" s="6"/>
      <c r="Q184" s="14"/>
      <c r="R184" s="6"/>
      <c r="S184" s="7"/>
      <c r="T184" s="169"/>
      <c r="U184" s="8"/>
      <c r="V184" s="7"/>
      <c r="W184" s="6"/>
      <c r="X184" s="7"/>
      <c r="Y184" s="6"/>
      <c r="Z184" s="14"/>
      <c r="AA184" s="6"/>
      <c r="AB184" s="7"/>
    </row>
    <row r="185" spans="1:28" s="4" customFormat="1" ht="15.75" outlineLevel="2" x14ac:dyDescent="0.25">
      <c r="A185" s="30" t="s">
        <v>85</v>
      </c>
      <c r="C185" s="60" t="s">
        <v>85</v>
      </c>
      <c r="D185" s="6"/>
      <c r="E185" s="7"/>
      <c r="F185" s="7"/>
      <c r="G185" s="6"/>
      <c r="H185" s="8"/>
      <c r="I185" s="6"/>
      <c r="J185" s="14"/>
      <c r="K185" s="6"/>
      <c r="L185" s="6"/>
      <c r="M185" s="7"/>
      <c r="N185" s="6"/>
      <c r="O185" s="8"/>
      <c r="P185" s="6"/>
      <c r="Q185" s="14"/>
      <c r="R185" s="6"/>
      <c r="S185" s="7">
        <f>O185/12</f>
        <v>0</v>
      </c>
      <c r="T185" s="172"/>
      <c r="V185" s="7"/>
      <c r="W185" s="6"/>
      <c r="X185" s="8"/>
      <c r="Y185" s="6"/>
      <c r="Z185" s="14"/>
      <c r="AA185" s="6"/>
      <c r="AB185" s="7">
        <f>X185/12</f>
        <v>0</v>
      </c>
    </row>
    <row r="186" spans="1:28" s="4" customFormat="1" ht="15.75" outlineLevel="2" x14ac:dyDescent="0.25">
      <c r="A186" s="30" t="s">
        <v>85</v>
      </c>
      <c r="B186" s="5"/>
      <c r="C186" s="61" t="s">
        <v>86</v>
      </c>
      <c r="D186" s="6"/>
      <c r="E186" s="7">
        <v>398.18</v>
      </c>
      <c r="F186" s="7">
        <f>(E186/10)*12</f>
        <v>477.81599999999997</v>
      </c>
      <c r="G186" s="6"/>
      <c r="H186" s="8">
        <v>200</v>
      </c>
      <c r="I186" s="6"/>
      <c r="J186" s="9">
        <f>H186/$H$198</f>
        <v>5.6552492744810017E-4</v>
      </c>
      <c r="K186" s="6"/>
      <c r="L186" s="6"/>
      <c r="M186" s="7"/>
      <c r="N186" s="6"/>
      <c r="O186" s="8">
        <v>500</v>
      </c>
      <c r="P186" s="6"/>
      <c r="Q186" s="9">
        <f>O186/$O$198</f>
        <v>1.6864867650758677E-3</v>
      </c>
      <c r="R186" s="6"/>
      <c r="S186" s="7">
        <f>O186/12</f>
        <v>41.666666666666664</v>
      </c>
      <c r="T186" s="169">
        <v>500</v>
      </c>
      <c r="U186" s="8">
        <f>(593.7/10)*12</f>
        <v>712.44</v>
      </c>
      <c r="V186" s="225" t="s">
        <v>258</v>
      </c>
      <c r="W186" s="6"/>
      <c r="X186" s="8">
        <v>600</v>
      </c>
      <c r="Y186" s="6"/>
      <c r="Z186" s="9">
        <f>X186/$X$198</f>
        <v>1.8596462952746387E-3</v>
      </c>
      <c r="AA186" s="6"/>
      <c r="AB186" s="7">
        <f>X186/12</f>
        <v>50</v>
      </c>
    </row>
    <row r="187" spans="1:28" s="4" customFormat="1" ht="15.75" outlineLevel="1" x14ac:dyDescent="0.25">
      <c r="A187" s="21" t="s">
        <v>125</v>
      </c>
      <c r="B187" s="23"/>
      <c r="C187" s="62"/>
      <c r="D187" s="24"/>
      <c r="E187" s="35">
        <f>SUBTOTAL(9,E185:E186)</f>
        <v>398.18</v>
      </c>
      <c r="F187" s="35">
        <f>SUBTOTAL(9,F185:F186)</f>
        <v>477.81599999999997</v>
      </c>
      <c r="G187" s="24"/>
      <c r="H187" s="35">
        <f>SUBTOTAL(9,H185:H186)</f>
        <v>200</v>
      </c>
      <c r="I187" s="24"/>
      <c r="J187" s="26">
        <f>SUBTOTAL(9,J185:J186)</f>
        <v>5.6552492744810017E-4</v>
      </c>
      <c r="K187" s="24"/>
      <c r="L187" s="24"/>
      <c r="M187" s="25">
        <f>SUBTOTAL(9,M185:M186)</f>
        <v>0</v>
      </c>
      <c r="N187" s="24"/>
      <c r="O187" s="35">
        <f>SUBTOTAL(9,O185:O186)</f>
        <v>500</v>
      </c>
      <c r="P187" s="24"/>
      <c r="Q187" s="26">
        <f>SUBTOTAL(9,Q185:Q186)</f>
        <v>1.6864867650758677E-3</v>
      </c>
      <c r="R187" s="24"/>
      <c r="S187" s="25">
        <f>SUBTOTAL(9,S185:S186)</f>
        <v>41.666666666666664</v>
      </c>
      <c r="T187" s="170">
        <f>SUBTOTAL(9,T184:T186)</f>
        <v>500</v>
      </c>
      <c r="U187" s="35">
        <f>SUM(U186)</f>
        <v>712.44</v>
      </c>
      <c r="V187" s="25">
        <v>100</v>
      </c>
      <c r="W187" s="24"/>
      <c r="X187" s="35">
        <f>SUBTOTAL(9,X185:X186)</f>
        <v>600</v>
      </c>
      <c r="Y187" s="24"/>
      <c r="Z187" s="26">
        <f>SUBTOTAL(9,Z185:Z186)</f>
        <v>1.8596462952746387E-3</v>
      </c>
      <c r="AA187" s="24"/>
      <c r="AB187" s="25">
        <f>SUBTOTAL(9,AB185:AB186)</f>
        <v>50</v>
      </c>
    </row>
    <row r="188" spans="1:28" s="4" customFormat="1" ht="15.75" outlineLevel="1" x14ac:dyDescent="0.25">
      <c r="A188" s="6"/>
      <c r="B188" s="6"/>
      <c r="C188" s="61"/>
      <c r="D188" s="6"/>
      <c r="E188" s="7"/>
      <c r="F188" s="7"/>
      <c r="G188" s="6"/>
      <c r="H188" s="7"/>
      <c r="I188" s="6"/>
      <c r="J188" s="14"/>
      <c r="K188" s="6"/>
      <c r="L188" s="6"/>
      <c r="M188" s="7"/>
      <c r="N188" s="6"/>
      <c r="O188" s="7"/>
      <c r="P188" s="6"/>
      <c r="Q188" s="14"/>
      <c r="R188" s="6"/>
      <c r="S188" s="7"/>
      <c r="T188" s="169"/>
      <c r="U188" s="8"/>
      <c r="V188" s="7"/>
      <c r="W188" s="6"/>
      <c r="X188" s="7"/>
      <c r="Y188" s="6"/>
      <c r="Z188" s="14"/>
      <c r="AA188" s="6"/>
      <c r="AB188" s="7"/>
    </row>
    <row r="189" spans="1:28" s="4" customFormat="1" ht="15.75" outlineLevel="2" x14ac:dyDescent="0.25">
      <c r="A189" s="30" t="s">
        <v>87</v>
      </c>
      <c r="C189" s="60" t="s">
        <v>87</v>
      </c>
      <c r="D189" s="6"/>
      <c r="E189" s="7"/>
      <c r="F189" s="7"/>
      <c r="G189" s="6"/>
      <c r="H189" s="8"/>
      <c r="I189" s="6"/>
      <c r="J189" s="14"/>
      <c r="K189" s="6"/>
      <c r="L189" s="6"/>
      <c r="M189" s="7"/>
      <c r="N189" s="6"/>
      <c r="O189" s="8"/>
      <c r="P189" s="6"/>
      <c r="Q189" s="14"/>
      <c r="R189" s="6"/>
      <c r="S189" s="7">
        <f>O189/12</f>
        <v>0</v>
      </c>
      <c r="T189" s="172"/>
      <c r="V189" s="7"/>
      <c r="W189" s="6"/>
      <c r="X189" s="8"/>
      <c r="Y189" s="6"/>
      <c r="Z189" s="14"/>
      <c r="AA189" s="6"/>
      <c r="AB189" s="7">
        <f>X189/12</f>
        <v>0</v>
      </c>
    </row>
    <row r="190" spans="1:28" s="4" customFormat="1" ht="15.75" outlineLevel="2" x14ac:dyDescent="0.25">
      <c r="A190" s="30" t="s">
        <v>87</v>
      </c>
      <c r="B190" s="5"/>
      <c r="C190" s="6" t="s">
        <v>88</v>
      </c>
      <c r="D190" s="6"/>
      <c r="E190" s="7">
        <v>658.87</v>
      </c>
      <c r="F190" s="7">
        <f>(E190/10)*12</f>
        <v>790.64400000000001</v>
      </c>
      <c r="G190" s="6"/>
      <c r="H190" s="8">
        <v>1000</v>
      </c>
      <c r="I190" s="6"/>
      <c r="J190" s="9">
        <f>H190/$H$198</f>
        <v>2.8276246372405008E-3</v>
      </c>
      <c r="K190" s="6"/>
      <c r="L190" s="6"/>
      <c r="M190" s="7"/>
      <c r="N190" s="6"/>
      <c r="O190" s="8">
        <v>1000</v>
      </c>
      <c r="P190" s="6"/>
      <c r="Q190" s="9">
        <f>O190/$O$198</f>
        <v>3.3729735301517355E-3</v>
      </c>
      <c r="R190" s="6"/>
      <c r="S190" s="7">
        <f>O190/12</f>
        <v>83.333333333333329</v>
      </c>
      <c r="T190" s="169">
        <v>1000</v>
      </c>
      <c r="U190" s="8">
        <f>(729.77/10)*12</f>
        <v>875.72400000000005</v>
      </c>
      <c r="V190" s="7"/>
      <c r="W190" s="6"/>
      <c r="X190" s="8">
        <v>0</v>
      </c>
      <c r="Y190" s="6"/>
      <c r="Z190" s="9">
        <f>X190/$X$198</f>
        <v>0</v>
      </c>
      <c r="AA190" s="6"/>
      <c r="AB190" s="7">
        <f>X190/12</f>
        <v>0</v>
      </c>
    </row>
    <row r="191" spans="1:28" s="4" customFormat="1" ht="15.75" outlineLevel="1" x14ac:dyDescent="0.25">
      <c r="A191" s="21" t="s">
        <v>126</v>
      </c>
      <c r="B191" s="23"/>
      <c r="C191" s="62"/>
      <c r="D191" s="24"/>
      <c r="E191" s="35">
        <f>SUBTOTAL(9,E189:E190)</f>
        <v>658.87</v>
      </c>
      <c r="F191" s="35">
        <f>SUBTOTAL(9,F189:F190)</f>
        <v>790.64400000000001</v>
      </c>
      <c r="G191" s="24"/>
      <c r="H191" s="35">
        <f>SUBTOTAL(9,H189:H190)</f>
        <v>1000</v>
      </c>
      <c r="I191" s="24"/>
      <c r="J191" s="26">
        <f>SUBTOTAL(9,J189:J190)</f>
        <v>2.8276246372405008E-3</v>
      </c>
      <c r="K191" s="24"/>
      <c r="L191" s="24"/>
      <c r="M191" s="25">
        <f>SUBTOTAL(9,M189:M190)</f>
        <v>0</v>
      </c>
      <c r="N191" s="24"/>
      <c r="O191" s="35">
        <f>SUBTOTAL(9,O189:O190)</f>
        <v>1000</v>
      </c>
      <c r="P191" s="24"/>
      <c r="Q191" s="26">
        <f>SUBTOTAL(9,Q189:Q190)</f>
        <v>3.3729735301517355E-3</v>
      </c>
      <c r="R191" s="24"/>
      <c r="S191" s="25">
        <f>SUBTOTAL(9,S189:S190)</f>
        <v>83.333333333333329</v>
      </c>
      <c r="T191" s="170">
        <f>SUBTOTAL(9,T188:T190)</f>
        <v>1000</v>
      </c>
      <c r="U191" s="35">
        <f>SUM(U190)</f>
        <v>875.72400000000005</v>
      </c>
      <c r="V191" s="25"/>
      <c r="W191" s="24"/>
      <c r="X191" s="35">
        <f>SUBTOTAL(9,X189:X190)</f>
        <v>0</v>
      </c>
      <c r="Y191" s="24"/>
      <c r="Z191" s="26">
        <f>SUBTOTAL(9,Z189:Z190)</f>
        <v>0</v>
      </c>
      <c r="AA191" s="24"/>
      <c r="AB191" s="25">
        <f>SUBTOTAL(9,AB189:AB190)</f>
        <v>0</v>
      </c>
    </row>
    <row r="192" spans="1:28" s="4" customFormat="1" ht="15.75" outlineLevel="1" x14ac:dyDescent="0.25">
      <c r="A192" s="39" t="s">
        <v>117</v>
      </c>
      <c r="B192" s="39"/>
      <c r="C192" s="67"/>
      <c r="D192" s="42"/>
      <c r="E192" s="40">
        <f>SUBTOTAL(9,E135:E191)</f>
        <v>239822.48</v>
      </c>
      <c r="F192" s="40">
        <f>SUBTOTAL(9,F135:F191)</f>
        <v>287786.97600000002</v>
      </c>
      <c r="G192" s="42"/>
      <c r="H192" s="40">
        <f>SUBTOTAL(9,H135:H191)</f>
        <v>116747</v>
      </c>
      <c r="I192" s="42"/>
      <c r="J192" s="43">
        <f>H192/H198</f>
        <v>0.33011669352391676</v>
      </c>
      <c r="K192" s="42"/>
      <c r="L192" s="6"/>
      <c r="M192" s="41">
        <f>SUBTOTAL(9,M191:M191)</f>
        <v>0</v>
      </c>
      <c r="N192" s="42"/>
      <c r="O192" s="40">
        <f>SUBTOTAL(9,O135:O191)</f>
        <v>114503.44</v>
      </c>
      <c r="P192" s="42"/>
      <c r="Q192" s="43">
        <f>O192/$O$198</f>
        <v>0.38621707223131746</v>
      </c>
      <c r="R192" s="42"/>
      <c r="S192" s="40">
        <f>SUBTOTAL(9,S135:S191)</f>
        <v>9208.6200000000008</v>
      </c>
      <c r="T192" s="169">
        <f>SUBTOTAL(9,T133:T191)</f>
        <v>114503.44</v>
      </c>
      <c r="U192" s="8">
        <f>U191+U187+U183+U173+U162+U156+U153+U146+U138+U130</f>
        <v>142789.13400000002</v>
      </c>
      <c r="V192" s="41">
        <v>0</v>
      </c>
      <c r="W192" s="42"/>
      <c r="X192" s="40">
        <f>SUBTOTAL(9,X135:X191)</f>
        <v>146651</v>
      </c>
      <c r="Y192" s="42"/>
      <c r="Z192" s="43">
        <f>X192/$X$198</f>
        <v>0.45453164808053509</v>
      </c>
      <c r="AA192" s="42"/>
      <c r="AB192" s="40">
        <f>SUBTOTAL(9,AB135:AB191)</f>
        <v>11887.583333333336</v>
      </c>
    </row>
    <row r="193" spans="1:28" s="4" customFormat="1" ht="15.75" outlineLevel="1" x14ac:dyDescent="0.25">
      <c r="A193" s="6"/>
      <c r="B193" s="6"/>
      <c r="C193" s="61"/>
      <c r="D193" s="6"/>
      <c r="E193" s="7"/>
      <c r="F193" s="7"/>
      <c r="G193" s="6"/>
      <c r="H193" s="7"/>
      <c r="I193" s="6"/>
      <c r="J193" s="14"/>
      <c r="K193" s="6"/>
      <c r="L193" s="6"/>
      <c r="M193" s="7"/>
      <c r="N193" s="6"/>
      <c r="O193" s="7"/>
      <c r="P193" s="6"/>
      <c r="Q193" s="14"/>
      <c r="R193" s="6"/>
      <c r="S193" s="7"/>
      <c r="T193" s="169"/>
      <c r="U193" s="8"/>
      <c r="V193" s="7"/>
      <c r="W193" s="6"/>
      <c r="X193" s="7"/>
      <c r="Y193" s="6"/>
      <c r="Z193" s="14"/>
      <c r="AA193" s="6"/>
      <c r="AB193" s="7"/>
    </row>
    <row r="194" spans="1:28" s="4" customFormat="1" ht="15.75" outlineLevel="2" x14ac:dyDescent="0.25">
      <c r="A194" s="30"/>
      <c r="C194" s="60" t="s">
        <v>174</v>
      </c>
      <c r="D194" s="6"/>
      <c r="E194" s="7"/>
      <c r="F194" s="7"/>
      <c r="G194" s="6"/>
      <c r="H194" s="8"/>
      <c r="I194" s="6"/>
      <c r="J194" s="14"/>
      <c r="K194" s="6"/>
      <c r="L194" s="6"/>
      <c r="M194" s="7"/>
      <c r="N194" s="6"/>
      <c r="O194" s="8"/>
      <c r="P194" s="6"/>
      <c r="Q194" s="14"/>
      <c r="R194" s="6"/>
      <c r="S194" s="7"/>
      <c r="T194" s="169"/>
      <c r="U194" s="8"/>
      <c r="V194" s="7"/>
      <c r="W194" s="6"/>
      <c r="X194" s="8"/>
      <c r="Y194" s="6"/>
      <c r="Z194" s="14"/>
      <c r="AA194" s="6"/>
      <c r="AB194" s="7"/>
    </row>
    <row r="195" spans="1:28" s="4" customFormat="1" ht="15.75" outlineLevel="2" x14ac:dyDescent="0.25">
      <c r="A195" s="30"/>
      <c r="B195" s="5"/>
      <c r="C195" s="6" t="s">
        <v>151</v>
      </c>
      <c r="D195" s="6"/>
      <c r="E195" s="7">
        <v>2932.55</v>
      </c>
      <c r="F195" s="7">
        <f>(E195/10)*12</f>
        <v>3519.06</v>
      </c>
      <c r="G195" s="6"/>
      <c r="H195" s="8"/>
      <c r="I195" s="6"/>
      <c r="J195" s="9"/>
      <c r="K195" s="6"/>
      <c r="L195" s="6"/>
      <c r="M195" s="7"/>
      <c r="N195" s="6"/>
      <c r="O195" s="8"/>
      <c r="P195" s="6"/>
      <c r="Q195" s="9"/>
      <c r="R195" s="6"/>
      <c r="S195" s="7"/>
      <c r="T195" s="168">
        <v>2243.31</v>
      </c>
      <c r="U195" s="8">
        <f>(2243.31/10)*12</f>
        <v>2691.9719999999998</v>
      </c>
      <c r="V195" s="7"/>
      <c r="W195" s="6"/>
      <c r="X195" s="8"/>
      <c r="Y195" s="6"/>
      <c r="Z195" s="9">
        <f>X195/$X$198</f>
        <v>0</v>
      </c>
      <c r="AA195" s="6"/>
      <c r="AB195" s="7">
        <f>X195/12</f>
        <v>0</v>
      </c>
    </row>
    <row r="196" spans="1:28" s="4" customFormat="1" ht="15.75" outlineLevel="1" x14ac:dyDescent="0.25">
      <c r="A196" s="6"/>
      <c r="B196" s="6"/>
      <c r="C196" s="61" t="s">
        <v>150</v>
      </c>
      <c r="D196" s="6"/>
      <c r="E196" s="7">
        <v>1924.41</v>
      </c>
      <c r="F196" s="7">
        <f>(E196/10)*12</f>
        <v>2309.2919999999999</v>
      </c>
      <c r="G196" s="6"/>
      <c r="H196" s="7"/>
      <c r="I196" s="6"/>
      <c r="J196" s="14"/>
      <c r="K196" s="6"/>
      <c r="L196" s="6"/>
      <c r="M196" s="7"/>
      <c r="N196" s="6"/>
      <c r="O196" s="7"/>
      <c r="P196" s="6"/>
      <c r="Q196" s="14"/>
      <c r="R196" s="6"/>
      <c r="S196" s="7"/>
      <c r="T196" s="169">
        <v>5404.03</v>
      </c>
      <c r="U196" s="8">
        <f>(5404.03/10)*12</f>
        <v>6484.8360000000002</v>
      </c>
      <c r="V196" s="7"/>
      <c r="W196" s="6"/>
      <c r="X196" s="8"/>
      <c r="Y196" s="6"/>
      <c r="Z196" s="182">
        <f>X196/$X$198</f>
        <v>0</v>
      </c>
      <c r="AA196" s="6"/>
      <c r="AB196" s="7">
        <f>X196/12</f>
        <v>0</v>
      </c>
    </row>
    <row r="197" spans="1:28" s="4" customFormat="1" ht="16.5" outlineLevel="2" thickBot="1" x14ac:dyDescent="0.3">
      <c r="A197" s="30"/>
      <c r="C197" s="60" t="s">
        <v>175</v>
      </c>
      <c r="D197" s="6"/>
      <c r="E197" s="149">
        <f>SUBTOTAL(9,E195:E196)</f>
        <v>4856.96</v>
      </c>
      <c r="F197" s="7">
        <f>SUM(F195:F196)</f>
        <v>5828.3519999999999</v>
      </c>
      <c r="G197" s="6"/>
      <c r="H197" s="8"/>
      <c r="I197" s="6"/>
      <c r="J197" s="14"/>
      <c r="K197" s="6"/>
      <c r="L197" s="6"/>
      <c r="M197" s="7"/>
      <c r="N197" s="6"/>
      <c r="O197" s="8"/>
      <c r="P197" s="6"/>
      <c r="Q197" s="14"/>
      <c r="R197" s="6"/>
      <c r="S197" s="7"/>
      <c r="T197" s="179">
        <f>SUM(T195:T196)</f>
        <v>7647.34</v>
      </c>
      <c r="U197" s="180">
        <f>SUM(U194:U196)</f>
        <v>9176.8080000000009</v>
      </c>
      <c r="V197" s="7"/>
      <c r="W197" s="6"/>
      <c r="X197" s="180"/>
      <c r="Y197" s="6"/>
      <c r="Z197" s="181">
        <f>SUBTOTAL(9,Z195:Z196)</f>
        <v>0</v>
      </c>
      <c r="AA197" s="6"/>
      <c r="AB197" s="7">
        <f>X197/12</f>
        <v>0</v>
      </c>
    </row>
    <row r="198" spans="1:28" s="122" customFormat="1" ht="18.75" thickBot="1" x14ac:dyDescent="0.3">
      <c r="A198" s="44" t="s">
        <v>134</v>
      </c>
      <c r="B198" s="45"/>
      <c r="C198" s="68"/>
      <c r="D198" s="45"/>
      <c r="E198" s="46">
        <f>$E$197+$E$192+$E$130+$E$126+$E$92</f>
        <v>382941.33</v>
      </c>
      <c r="F198" s="46">
        <f>SUBTOTAL(9,F39:F192)</f>
        <v>563894.60399999993</v>
      </c>
      <c r="G198" s="45"/>
      <c r="H198" s="46">
        <f>SUBTOTAL(9,H39:H192)</f>
        <v>353653.73</v>
      </c>
      <c r="I198" s="45"/>
      <c r="J198" s="95">
        <f>H198/H199</f>
        <v>1.2304477512652012</v>
      </c>
      <c r="K198" s="45"/>
      <c r="L198" s="144"/>
      <c r="M198" s="46">
        <f>SUBTOTAL(9,M39:M190)</f>
        <v>51984.996538461535</v>
      </c>
      <c r="N198" s="45"/>
      <c r="O198" s="46">
        <f>O192+O126+O130+O92</f>
        <v>296474.31</v>
      </c>
      <c r="P198" s="45"/>
      <c r="Q198" s="47">
        <f>O198/$O$198</f>
        <v>1</v>
      </c>
      <c r="R198" s="45"/>
      <c r="S198" s="46">
        <f>SUBTOTAL(9,S39:S190)</f>
        <v>33782.331666666687</v>
      </c>
      <c r="T198" s="175">
        <f>T192+T126+T130+T92</f>
        <v>296474.31</v>
      </c>
      <c r="U198" s="175">
        <f>U192+U126+U130+U92+U197</f>
        <v>188755.72200000001</v>
      </c>
      <c r="V198" s="46">
        <f>SUBTOTAL(9,V39:V190)</f>
        <v>28543.41</v>
      </c>
      <c r="W198" s="45"/>
      <c r="X198" s="46">
        <f>X192+X126+X130+X92</f>
        <v>322642</v>
      </c>
      <c r="Y198" s="45"/>
      <c r="Z198" s="47">
        <f>X198/$X$198</f>
        <v>1</v>
      </c>
      <c r="AA198" s="45"/>
      <c r="AB198" s="46">
        <f>SUBTOTAL(9,AB39:AB190)</f>
        <v>35210.166666666679</v>
      </c>
    </row>
    <row r="199" spans="1:28" s="4" customFormat="1" ht="15.75" thickBot="1" x14ac:dyDescent="0.25">
      <c r="A199" s="6"/>
      <c r="B199" s="6"/>
      <c r="C199" s="69" t="s">
        <v>130</v>
      </c>
      <c r="D199" s="6"/>
      <c r="E199" s="7">
        <f>E36</f>
        <v>95918.69</v>
      </c>
      <c r="F199" s="7">
        <f>F36</f>
        <v>114102.67200000001</v>
      </c>
      <c r="G199" s="6"/>
      <c r="H199" s="7">
        <f>H36</f>
        <v>287418.73</v>
      </c>
      <c r="I199" s="6"/>
      <c r="J199" s="14"/>
      <c r="K199" s="6"/>
      <c r="L199" s="6"/>
      <c r="M199" s="7"/>
      <c r="N199" s="6"/>
      <c r="O199" s="7">
        <f>O36</f>
        <v>318253.21000000002</v>
      </c>
      <c r="P199" s="6"/>
      <c r="Q199" s="14"/>
      <c r="R199" s="6"/>
      <c r="S199" s="7"/>
      <c r="T199" s="168">
        <f>T36</f>
        <v>296474.31</v>
      </c>
      <c r="U199" s="168">
        <f>U36</f>
        <v>313750.76399999997</v>
      </c>
      <c r="V199" s="7"/>
      <c r="W199" s="6"/>
      <c r="X199" s="7">
        <f>X36</f>
        <v>322642</v>
      </c>
      <c r="Y199" s="6"/>
      <c r="Z199" s="14"/>
      <c r="AA199" s="6"/>
      <c r="AB199" s="7"/>
    </row>
    <row r="200" spans="1:28" ht="15.75" thickBot="1" x14ac:dyDescent="0.25">
      <c r="C200" s="70" t="s">
        <v>164</v>
      </c>
      <c r="D200" s="32"/>
      <c r="E200" s="33">
        <f>E199-E198</f>
        <v>-287022.64</v>
      </c>
      <c r="F200" s="33">
        <f>F199-F198</f>
        <v>-449791.93199999991</v>
      </c>
      <c r="G200" s="32"/>
      <c r="H200" s="33">
        <f>H199-H198</f>
        <v>-66235</v>
      </c>
      <c r="L200" s="32"/>
      <c r="M200" s="32"/>
      <c r="O200" s="125">
        <f>O199-O198</f>
        <v>21778.900000000023</v>
      </c>
      <c r="T200" s="176">
        <f>T199-T198</f>
        <v>0</v>
      </c>
      <c r="U200" s="176">
        <f>U199-U198</f>
        <v>124995.04199999996</v>
      </c>
      <c r="V200" s="32"/>
      <c r="X200" s="125">
        <f>X199-X198</f>
        <v>0</v>
      </c>
    </row>
    <row r="202" spans="1:28" x14ac:dyDescent="0.2">
      <c r="E202" s="20">
        <f>$E$197+$E$192+$E$130+$E$126+$E$92</f>
        <v>382941.33</v>
      </c>
      <c r="O202" s="154" t="s">
        <v>186</v>
      </c>
      <c r="T202" s="154" t="s">
        <v>186</v>
      </c>
      <c r="U202" s="36"/>
    </row>
    <row r="203" spans="1:28" x14ac:dyDescent="0.2">
      <c r="H203" s="36"/>
      <c r="O203" s="36"/>
      <c r="T203" s="153"/>
      <c r="U203" s="153"/>
      <c r="X203" s="36"/>
    </row>
    <row r="204" spans="1:28" x14ac:dyDescent="0.2">
      <c r="O204" s="153"/>
      <c r="X204" s="153"/>
    </row>
    <row r="206" spans="1:28" x14ac:dyDescent="0.2">
      <c r="O206" s="93"/>
      <c r="X206" s="93"/>
    </row>
    <row r="207" spans="1:28" x14ac:dyDescent="0.2">
      <c r="C207" s="157" t="s">
        <v>190</v>
      </c>
      <c r="H207" s="1"/>
    </row>
    <row r="208" spans="1:28" x14ac:dyDescent="0.2">
      <c r="C208" s="158" t="s">
        <v>187</v>
      </c>
      <c r="H208" s="1"/>
      <c r="O208" s="155">
        <v>257347.63</v>
      </c>
      <c r="X208" s="155">
        <v>256860.78</v>
      </c>
    </row>
    <row r="209" spans="3:24" x14ac:dyDescent="0.2">
      <c r="C209" s="158" t="s">
        <v>188</v>
      </c>
      <c r="H209" s="1"/>
      <c r="O209" s="155">
        <v>37985.58</v>
      </c>
      <c r="X209" s="155">
        <v>37985.58</v>
      </c>
    </row>
    <row r="210" spans="3:24" x14ac:dyDescent="0.2">
      <c r="C210" s="159" t="s">
        <v>189</v>
      </c>
      <c r="H210" s="1"/>
      <c r="O210" s="156">
        <f>SUM(O208:O209)</f>
        <v>295333.21000000002</v>
      </c>
      <c r="X210" s="156">
        <f>SUM(X208:X209)</f>
        <v>294846.36</v>
      </c>
    </row>
  </sheetData>
  <sortState ref="A91:S93">
    <sortCondition ref="C91:C93"/>
  </sortState>
  <printOptions horizontalCentered="1" gridLines="1"/>
  <pageMargins left="0.25" right="0.25" top="0.75" bottom="0.75" header="0.3" footer="0.3"/>
  <pageSetup scale="60" fitToHeight="0" orientation="portrait" r:id="rId1"/>
  <headerFooter scaleWithDoc="0">
    <oddFooter>&amp;L&amp;"Arial,Bold"&amp;14&amp;F &amp;D&amp;R&amp;"Arial,Bold"&amp;12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2</xdr:col>
                <xdr:colOff>390525</xdr:colOff>
                <xdr:row>1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2</xdr:col>
                <xdr:colOff>390525</xdr:colOff>
                <xdr:row>1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opLeftCell="A4" workbookViewId="0">
      <selection activeCell="O18" sqref="O18"/>
    </sheetView>
  </sheetViews>
  <sheetFormatPr defaultRowHeight="15" x14ac:dyDescent="0.25"/>
  <cols>
    <col min="1" max="1" width="11.7109375" style="206" customWidth="1"/>
    <col min="2" max="2" width="16.42578125" bestFit="1" customWidth="1"/>
    <col min="3" max="3" width="10.5703125" bestFit="1" customWidth="1"/>
    <col min="5" max="5" width="9.28515625" bestFit="1" customWidth="1"/>
    <col min="6" max="6" width="14.28515625" bestFit="1" customWidth="1"/>
    <col min="7" max="7" width="9.28515625" bestFit="1" customWidth="1"/>
    <col min="15" max="15" width="11.5703125" bestFit="1" customWidth="1"/>
    <col min="16" max="16" width="11.5703125" customWidth="1"/>
    <col min="17" max="17" width="10.5703125" customWidth="1"/>
    <col min="18" max="18" width="9.28515625" bestFit="1" customWidth="1"/>
    <col min="19" max="19" width="10.5703125" bestFit="1" customWidth="1"/>
  </cols>
  <sheetData>
    <row r="1" spans="1:19" x14ac:dyDescent="0.25">
      <c r="A1" s="217" t="s">
        <v>199</v>
      </c>
      <c r="C1" s="194"/>
      <c r="D1" s="194"/>
      <c r="E1" s="194"/>
      <c r="F1" s="200">
        <v>6.2E-2</v>
      </c>
      <c r="G1" s="201">
        <v>1.4500000000000001E-2</v>
      </c>
      <c r="H1" s="196" t="s">
        <v>217</v>
      </c>
      <c r="I1" s="196" t="s">
        <v>217</v>
      </c>
      <c r="J1" s="194"/>
      <c r="K1" s="194"/>
      <c r="L1" s="196" t="s">
        <v>219</v>
      </c>
      <c r="M1" s="196" t="s">
        <v>221</v>
      </c>
      <c r="N1" s="196" t="s">
        <v>224</v>
      </c>
      <c r="O1" s="196"/>
      <c r="P1" s="196"/>
      <c r="Q1" s="196"/>
      <c r="R1" s="196">
        <v>30</v>
      </c>
      <c r="S1" s="196">
        <v>12</v>
      </c>
    </row>
    <row r="2" spans="1:19" x14ac:dyDescent="0.25">
      <c r="A2" s="217"/>
      <c r="C2" s="196" t="s">
        <v>200</v>
      </c>
      <c r="D2" s="196" t="s">
        <v>201</v>
      </c>
      <c r="E2" s="196" t="s">
        <v>202</v>
      </c>
      <c r="F2" s="196" t="s">
        <v>204</v>
      </c>
      <c r="G2" s="196" t="s">
        <v>205</v>
      </c>
      <c r="H2" s="196" t="s">
        <v>206</v>
      </c>
      <c r="I2" s="196" t="s">
        <v>207</v>
      </c>
      <c r="J2" s="196" t="s">
        <v>203</v>
      </c>
      <c r="K2" s="196" t="s">
        <v>208</v>
      </c>
      <c r="L2" s="196" t="s">
        <v>205</v>
      </c>
      <c r="M2" s="196" t="s">
        <v>220</v>
      </c>
      <c r="N2" s="196" t="s">
        <v>219</v>
      </c>
      <c r="O2" s="196"/>
      <c r="P2" s="196"/>
      <c r="Q2" s="196"/>
      <c r="R2" s="196" t="s">
        <v>210</v>
      </c>
      <c r="S2" s="196" t="s">
        <v>211</v>
      </c>
    </row>
    <row r="3" spans="1:19" x14ac:dyDescent="0.25">
      <c r="A3" s="217" t="s">
        <v>247</v>
      </c>
      <c r="C3" s="207">
        <v>3.0099999999999998E-2</v>
      </c>
      <c r="D3" s="198"/>
      <c r="E3" s="183"/>
      <c r="F3" s="183"/>
      <c r="G3" s="183"/>
      <c r="H3" s="183"/>
      <c r="I3" s="183"/>
      <c r="J3" s="183"/>
      <c r="K3" s="183"/>
      <c r="N3" s="183"/>
      <c r="O3" s="183"/>
      <c r="P3" s="183"/>
      <c r="Q3" s="183"/>
      <c r="R3" s="183"/>
      <c r="S3" s="183"/>
    </row>
    <row r="4" spans="1:19" s="216" customFormat="1" ht="60.75" x14ac:dyDescent="0.3">
      <c r="A4" s="206"/>
      <c r="B4" s="216" t="s">
        <v>248</v>
      </c>
      <c r="C4" s="209" t="s">
        <v>228</v>
      </c>
      <c r="D4" s="215" t="s">
        <v>249</v>
      </c>
      <c r="E4" s="210" t="s">
        <v>229</v>
      </c>
      <c r="F4" s="211" t="s">
        <v>230</v>
      </c>
      <c r="G4" s="211" t="s">
        <v>231</v>
      </c>
      <c r="H4" s="209" t="s">
        <v>232</v>
      </c>
      <c r="I4" s="209" t="s">
        <v>232</v>
      </c>
      <c r="J4" s="212" t="s">
        <v>233</v>
      </c>
      <c r="K4" s="208" t="s">
        <v>234</v>
      </c>
      <c r="L4" s="213" t="s">
        <v>235</v>
      </c>
      <c r="M4" s="205" t="s">
        <v>236</v>
      </c>
      <c r="N4" s="212" t="s">
        <v>244</v>
      </c>
      <c r="O4" s="208" t="s">
        <v>243</v>
      </c>
      <c r="P4" s="208"/>
      <c r="Q4" s="212"/>
      <c r="R4" s="210" t="s">
        <v>237</v>
      </c>
      <c r="S4" s="210" t="s">
        <v>241</v>
      </c>
    </row>
    <row r="5" spans="1:19" s="216" customFormat="1" x14ac:dyDescent="0.25">
      <c r="A5" s="206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 t="s">
        <v>240</v>
      </c>
      <c r="O5" s="205" t="s">
        <v>239</v>
      </c>
      <c r="P5" s="205"/>
      <c r="Q5" s="205"/>
      <c r="R5" s="205" t="s">
        <v>239</v>
      </c>
      <c r="S5" s="205" t="s">
        <v>239</v>
      </c>
    </row>
    <row r="6" spans="1:19" s="216" customFormat="1" x14ac:dyDescent="0.25">
      <c r="A6" s="206"/>
      <c r="C6" s="205"/>
      <c r="D6" s="205"/>
      <c r="E6" s="205"/>
      <c r="F6" s="214">
        <v>6.2E-2</v>
      </c>
      <c r="G6" s="201">
        <v>1.4500000000000001E-2</v>
      </c>
      <c r="H6" s="204" t="s">
        <v>217</v>
      </c>
      <c r="I6" s="196" t="s">
        <v>217</v>
      </c>
      <c r="J6" s="205"/>
      <c r="K6" s="205"/>
      <c r="L6" s="196" t="s">
        <v>219</v>
      </c>
      <c r="M6" s="203" t="s">
        <v>221</v>
      </c>
      <c r="N6" s="196" t="s">
        <v>224</v>
      </c>
      <c r="O6" s="196" t="s">
        <v>224</v>
      </c>
      <c r="P6" s="196"/>
      <c r="Q6" s="196"/>
      <c r="R6" s="196">
        <v>40</v>
      </c>
      <c r="S6" s="196">
        <v>12</v>
      </c>
    </row>
    <row r="7" spans="1:19" s="216" customFormat="1" x14ac:dyDescent="0.25">
      <c r="A7" s="206"/>
      <c r="C7" s="196" t="s">
        <v>200</v>
      </c>
      <c r="D7" s="196" t="s">
        <v>201</v>
      </c>
      <c r="E7" s="196" t="s">
        <v>202</v>
      </c>
      <c r="F7" s="203" t="s">
        <v>204</v>
      </c>
      <c r="G7" s="196" t="s">
        <v>205</v>
      </c>
      <c r="H7" s="204" t="s">
        <v>206</v>
      </c>
      <c r="I7" s="196" t="s">
        <v>207</v>
      </c>
      <c r="J7" s="196" t="s">
        <v>203</v>
      </c>
      <c r="K7" s="196" t="s">
        <v>208</v>
      </c>
      <c r="L7" s="196" t="s">
        <v>205</v>
      </c>
      <c r="M7" s="203" t="s">
        <v>220</v>
      </c>
      <c r="N7" s="196" t="s">
        <v>219</v>
      </c>
      <c r="O7" s="196" t="s">
        <v>219</v>
      </c>
      <c r="P7" s="196"/>
      <c r="Q7" s="196"/>
      <c r="R7" s="196" t="s">
        <v>210</v>
      </c>
      <c r="S7" s="204" t="s">
        <v>211</v>
      </c>
    </row>
    <row r="8" spans="1:19" x14ac:dyDescent="0.25">
      <c r="C8" s="183"/>
      <c r="D8" s="198"/>
      <c r="E8" s="183"/>
      <c r="F8" s="183"/>
      <c r="G8" s="183"/>
    </row>
    <row r="9" spans="1:19" x14ac:dyDescent="0.25">
      <c r="A9" s="206" t="s">
        <v>209</v>
      </c>
      <c r="B9" s="199" t="s">
        <v>227</v>
      </c>
      <c r="C9" s="183">
        <v>21.5</v>
      </c>
      <c r="D9" s="198">
        <v>12</v>
      </c>
      <c r="E9" s="183">
        <f>D9*C9</f>
        <v>258</v>
      </c>
      <c r="F9" s="183">
        <f>-E9*F$1</f>
        <v>-15.996</v>
      </c>
      <c r="G9" s="183">
        <f>-E9*G6</f>
        <v>-3.7410000000000001</v>
      </c>
      <c r="H9" s="183">
        <v>-40</v>
      </c>
      <c r="I9" s="183">
        <v>0</v>
      </c>
      <c r="J9" s="183">
        <f>SUM(E9:I9)</f>
        <v>198.26299999999998</v>
      </c>
      <c r="K9" s="183">
        <f>E9*F6</f>
        <v>15.996</v>
      </c>
      <c r="L9" s="202">
        <f>E9*G6</f>
        <v>3.7410000000000001</v>
      </c>
      <c r="M9" t="s">
        <v>236</v>
      </c>
      <c r="N9" s="183">
        <f>E9+K9+L9</f>
        <v>277.73699999999997</v>
      </c>
      <c r="O9" s="183">
        <f>N9*52</f>
        <v>14442.323999999999</v>
      </c>
      <c r="P9" s="183"/>
      <c r="Q9" s="183"/>
      <c r="R9" s="183"/>
      <c r="S9" s="183"/>
    </row>
    <row r="10" spans="1:19" x14ac:dyDescent="0.25">
      <c r="A10" s="218" t="s">
        <v>209</v>
      </c>
      <c r="B10" s="219" t="s">
        <v>242</v>
      </c>
      <c r="C10" s="220">
        <v>23.15</v>
      </c>
      <c r="D10" s="221">
        <v>12</v>
      </c>
      <c r="E10" s="220">
        <f>D10*C10</f>
        <v>277.79999999999995</v>
      </c>
      <c r="F10" s="220">
        <f>-E10*F$1</f>
        <v>-17.223599999999998</v>
      </c>
      <c r="G10" s="220">
        <f>-E10*$G$6</f>
        <v>-4.0280999999999993</v>
      </c>
      <c r="H10" s="220">
        <v>-40</v>
      </c>
      <c r="I10" s="220">
        <v>0</v>
      </c>
      <c r="J10" s="220">
        <f>SUM(E10:I10)</f>
        <v>216.54829999999998</v>
      </c>
      <c r="K10" s="220">
        <f>E10*$F$6</f>
        <v>17.223599999999998</v>
      </c>
      <c r="L10" s="222">
        <f>E10*$G$6</f>
        <v>4.0280999999999993</v>
      </c>
      <c r="M10" s="223" t="s">
        <v>236</v>
      </c>
      <c r="N10" s="220">
        <f>E10+K10+L10</f>
        <v>299.05169999999993</v>
      </c>
      <c r="O10" s="220">
        <f>N10*52</f>
        <v>15550.688399999995</v>
      </c>
      <c r="P10" s="183"/>
      <c r="Q10" s="183"/>
      <c r="R10" s="183"/>
      <c r="S10" s="183"/>
    </row>
    <row r="11" spans="1:19" x14ac:dyDescent="0.25">
      <c r="C11" s="183">
        <f>C10-C9</f>
        <v>1.6499999999999986</v>
      </c>
      <c r="D11" s="198"/>
      <c r="E11" s="183"/>
      <c r="F11" s="183"/>
      <c r="G11" s="183"/>
      <c r="H11" s="183"/>
      <c r="I11" s="183"/>
      <c r="J11" s="183"/>
      <c r="K11" s="183"/>
      <c r="L11" s="202"/>
      <c r="N11" s="183"/>
      <c r="O11" s="183"/>
      <c r="P11" s="183"/>
      <c r="Q11" s="183"/>
      <c r="R11" s="183"/>
      <c r="S11" s="183"/>
    </row>
    <row r="12" spans="1:19" x14ac:dyDescent="0.25">
      <c r="A12" s="206" t="s">
        <v>214</v>
      </c>
      <c r="B12" s="199" t="s">
        <v>227</v>
      </c>
      <c r="C12" s="183">
        <v>18.5</v>
      </c>
      <c r="D12" s="198">
        <v>12</v>
      </c>
      <c r="E12" s="183">
        <f>D12*C12</f>
        <v>222</v>
      </c>
      <c r="F12" s="183">
        <f>E12*-F6</f>
        <v>-13.763999999999999</v>
      </c>
      <c r="G12" s="183">
        <f>E12*-G6</f>
        <v>-3.2190000000000003</v>
      </c>
      <c r="H12" s="183">
        <v>-22</v>
      </c>
      <c r="I12">
        <v>0</v>
      </c>
      <c r="J12" s="202">
        <f>SUM(E12:I12)</f>
        <v>183.017</v>
      </c>
      <c r="K12" s="202">
        <f>E12*F6</f>
        <v>13.763999999999999</v>
      </c>
      <c r="L12" s="202">
        <f>E12*G6</f>
        <v>3.2190000000000003</v>
      </c>
      <c r="M12" t="s">
        <v>236</v>
      </c>
      <c r="N12" s="183">
        <f>E12+K12+L12</f>
        <v>238.983</v>
      </c>
      <c r="O12" s="183">
        <f>N12*52</f>
        <v>12427.116</v>
      </c>
      <c r="P12" s="183"/>
    </row>
    <row r="13" spans="1:19" x14ac:dyDescent="0.25">
      <c r="A13" s="218" t="s">
        <v>214</v>
      </c>
      <c r="B13" s="219" t="s">
        <v>242</v>
      </c>
      <c r="C13" s="220">
        <v>18.5</v>
      </c>
      <c r="D13" s="221">
        <v>12</v>
      </c>
      <c r="E13" s="220">
        <f>D13*C13</f>
        <v>222</v>
      </c>
      <c r="F13" s="220">
        <f>-E13*F$1</f>
        <v>-13.763999999999999</v>
      </c>
      <c r="G13" s="220">
        <f>-E13*$G$6</f>
        <v>-3.2190000000000003</v>
      </c>
      <c r="H13" s="220">
        <v>-40</v>
      </c>
      <c r="I13" s="220">
        <v>0</v>
      </c>
      <c r="J13" s="220">
        <f>SUM(E13:I13)</f>
        <v>165.017</v>
      </c>
      <c r="K13" s="220">
        <f>E13*$F$6</f>
        <v>13.763999999999999</v>
      </c>
      <c r="L13" s="222">
        <f>E13*$G$6</f>
        <v>3.2190000000000003</v>
      </c>
      <c r="M13" s="223" t="s">
        <v>236</v>
      </c>
      <c r="N13" s="220">
        <f>E13+K13+L13</f>
        <v>238.983</v>
      </c>
      <c r="O13" s="220">
        <f>N13*52</f>
        <v>12427.116</v>
      </c>
      <c r="P13" s="183"/>
    </row>
    <row r="14" spans="1:19" x14ac:dyDescent="0.25">
      <c r="B14" s="199"/>
      <c r="C14" s="183"/>
      <c r="D14" s="198"/>
      <c r="E14" s="183"/>
      <c r="F14" s="183"/>
      <c r="G14" s="183"/>
      <c r="H14" s="183"/>
      <c r="I14" s="183"/>
      <c r="J14" s="183"/>
      <c r="K14" s="183"/>
      <c r="L14" s="202"/>
      <c r="N14" s="183"/>
      <c r="O14" s="183"/>
      <c r="P14" s="183"/>
    </row>
    <row r="15" spans="1:19" x14ac:dyDescent="0.25">
      <c r="A15" s="218" t="s">
        <v>216</v>
      </c>
      <c r="B15" s="219" t="s">
        <v>242</v>
      </c>
      <c r="C15" s="220">
        <v>25</v>
      </c>
      <c r="D15" s="221">
        <v>10</v>
      </c>
      <c r="E15" s="220">
        <f>D15*C15</f>
        <v>250</v>
      </c>
      <c r="F15" s="220">
        <f>-E15*$F$1</f>
        <v>-15.5</v>
      </c>
      <c r="G15" s="220">
        <f>-E15*$G$6</f>
        <v>-3.625</v>
      </c>
      <c r="H15" s="220">
        <v>-40</v>
      </c>
      <c r="I15" s="220">
        <v>0</v>
      </c>
      <c r="J15" s="220">
        <f>SUM(E15:I15)</f>
        <v>190.875</v>
      </c>
      <c r="K15" s="220">
        <f>E15*$F$6</f>
        <v>15.5</v>
      </c>
      <c r="L15" s="222">
        <f>E15*$G$6</f>
        <v>3.625</v>
      </c>
      <c r="M15" s="223" t="s">
        <v>236</v>
      </c>
      <c r="N15" s="220">
        <f>E15+K15+L15</f>
        <v>269.125</v>
      </c>
      <c r="O15" s="220">
        <f>N15*52</f>
        <v>13994.5</v>
      </c>
      <c r="P15" s="183"/>
    </row>
    <row r="16" spans="1:19" x14ac:dyDescent="0.25">
      <c r="C16" s="183"/>
      <c r="D16" s="198"/>
      <c r="E16" s="183"/>
      <c r="F16" s="183"/>
      <c r="G16" s="183"/>
    </row>
    <row r="17" spans="1:16" x14ac:dyDescent="0.25">
      <c r="A17" s="218" t="s">
        <v>245</v>
      </c>
      <c r="B17" s="219" t="s">
        <v>242</v>
      </c>
      <c r="C17" s="220">
        <v>25</v>
      </c>
      <c r="D17" s="221">
        <v>12</v>
      </c>
      <c r="E17" s="220">
        <f>D17*C17</f>
        <v>300</v>
      </c>
      <c r="F17" s="220">
        <f>-E17*F$1</f>
        <v>-18.600000000000001</v>
      </c>
      <c r="G17" s="220">
        <f>-E17*$G$6</f>
        <v>-4.3500000000000005</v>
      </c>
      <c r="H17" s="220">
        <v>-40</v>
      </c>
      <c r="I17" s="220">
        <v>0</v>
      </c>
      <c r="J17" s="220">
        <f>SUM(E17:I17)</f>
        <v>237.04999999999995</v>
      </c>
      <c r="K17" s="220">
        <f>E17*$F$6</f>
        <v>18.600000000000001</v>
      </c>
      <c r="L17" s="222">
        <f>E17*$G$6</f>
        <v>4.3500000000000005</v>
      </c>
      <c r="M17" s="223" t="s">
        <v>236</v>
      </c>
      <c r="N17" s="220">
        <f>E17+K17+L17</f>
        <v>322.95000000000005</v>
      </c>
      <c r="O17" s="220">
        <f>N17*52</f>
        <v>16793.400000000001</v>
      </c>
      <c r="P17" s="183"/>
    </row>
    <row r="18" spans="1:16" x14ac:dyDescent="0.25">
      <c r="A18" s="218" t="s">
        <v>245</v>
      </c>
      <c r="B18" s="219" t="s">
        <v>242</v>
      </c>
      <c r="C18" s="220">
        <v>24.41</v>
      </c>
      <c r="D18" s="221">
        <v>12</v>
      </c>
      <c r="E18" s="220">
        <f>D18*C18</f>
        <v>292.92</v>
      </c>
      <c r="F18" s="220">
        <f>-E18*F$1</f>
        <v>-18.16104</v>
      </c>
      <c r="G18" s="220">
        <f>-E18*$G$6</f>
        <v>-4.2473400000000003</v>
      </c>
      <c r="H18" s="220">
        <v>-40</v>
      </c>
      <c r="I18" s="220">
        <v>0</v>
      </c>
      <c r="J18" s="220">
        <f>SUM(E18:I18)</f>
        <v>230.51161999999999</v>
      </c>
      <c r="K18" s="220">
        <f>E18*$F$6</f>
        <v>18.16104</v>
      </c>
      <c r="L18" s="222">
        <f>E18*$G$6</f>
        <v>4.2473400000000003</v>
      </c>
      <c r="M18" s="223" t="s">
        <v>236</v>
      </c>
      <c r="N18" s="220">
        <f>E18+K18+L18</f>
        <v>315.32838000000004</v>
      </c>
      <c r="O18" s="220">
        <f>N18*52</f>
        <v>16397.075760000003</v>
      </c>
      <c r="P18" s="183"/>
    </row>
    <row r="19" spans="1:16" x14ac:dyDescent="0.25">
      <c r="B19" s="199"/>
      <c r="C19" s="183"/>
      <c r="D19" s="198"/>
      <c r="E19" s="183"/>
      <c r="F19" s="183"/>
      <c r="G19" s="183"/>
      <c r="H19" s="183"/>
      <c r="I19" s="183"/>
      <c r="J19" s="183"/>
      <c r="K19" s="183"/>
      <c r="L19" s="202"/>
      <c r="N19" s="183"/>
      <c r="O19" s="183"/>
      <c r="P19" s="183"/>
    </row>
    <row r="20" spans="1:16" x14ac:dyDescent="0.25">
      <c r="A20" s="206" t="s">
        <v>246</v>
      </c>
      <c r="B20" s="199" t="s">
        <v>227</v>
      </c>
      <c r="C20" s="183">
        <v>23.41</v>
      </c>
      <c r="D20" s="198">
        <v>12</v>
      </c>
      <c r="E20" s="183">
        <f>D20*C20</f>
        <v>280.92</v>
      </c>
      <c r="F20" s="183">
        <f>-E20*F$1</f>
        <v>-17.41704</v>
      </c>
      <c r="G20" s="183">
        <f>-E20*$G$6</f>
        <v>-4.0733400000000008</v>
      </c>
      <c r="H20" s="183">
        <v>-40</v>
      </c>
      <c r="I20" s="183">
        <v>0</v>
      </c>
      <c r="J20" s="183">
        <f>SUM(E20:I20)</f>
        <v>219.42962000000006</v>
      </c>
      <c r="K20" s="183">
        <f>E20*$F$6</f>
        <v>17.41704</v>
      </c>
      <c r="L20" s="202">
        <f>E20*$G$6</f>
        <v>4.0733400000000008</v>
      </c>
      <c r="M20" t="s">
        <v>236</v>
      </c>
      <c r="N20" s="183">
        <f>E20+K20+L20</f>
        <v>302.41037999999998</v>
      </c>
      <c r="O20" s="183">
        <f>N20*52</f>
        <v>15725.339759999999</v>
      </c>
      <c r="P20" s="183"/>
    </row>
    <row r="21" spans="1:16" x14ac:dyDescent="0.25">
      <c r="A21" s="218" t="s">
        <v>246</v>
      </c>
      <c r="B21" s="219" t="s">
        <v>242</v>
      </c>
      <c r="C21" s="220">
        <v>16.899999999999999</v>
      </c>
      <c r="D21" s="221">
        <v>12</v>
      </c>
      <c r="E21" s="220">
        <f>D21*C21</f>
        <v>202.79999999999998</v>
      </c>
      <c r="F21" s="220">
        <f>-E21*F$1</f>
        <v>-12.573599999999999</v>
      </c>
      <c r="G21" s="220">
        <f>-E21*$G$6</f>
        <v>-2.9405999999999999</v>
      </c>
      <c r="H21" s="220">
        <v>-40</v>
      </c>
      <c r="I21" s="220">
        <v>0</v>
      </c>
      <c r="J21" s="220">
        <f>SUM(E21:I21)</f>
        <v>147.28579999999999</v>
      </c>
      <c r="K21" s="220">
        <f>E21*$F$6</f>
        <v>12.573599999999999</v>
      </c>
      <c r="L21" s="222">
        <f>E21*$G$6</f>
        <v>2.9405999999999999</v>
      </c>
      <c r="M21" s="223" t="s">
        <v>236</v>
      </c>
      <c r="N21" s="220">
        <f>E21+K21+L21</f>
        <v>218.31419999999997</v>
      </c>
      <c r="O21" s="220">
        <f>N21*52</f>
        <v>11352.338399999999</v>
      </c>
      <c r="P21" s="183"/>
    </row>
    <row r="22" spans="1:16" x14ac:dyDescent="0.25">
      <c r="C22" s="183"/>
      <c r="D22" s="198"/>
      <c r="E22" s="183"/>
      <c r="F22" s="183"/>
      <c r="G22" s="183"/>
    </row>
    <row r="33" spans="1:19" x14ac:dyDescent="0.25">
      <c r="A33" s="206" t="s">
        <v>199</v>
      </c>
      <c r="C33" s="194"/>
      <c r="D33" s="194"/>
      <c r="E33" s="194"/>
      <c r="F33" s="195"/>
      <c r="G33" s="195"/>
      <c r="H33" s="194"/>
      <c r="I33" s="194"/>
      <c r="J33" s="194"/>
      <c r="K33" s="194"/>
      <c r="L33" s="196" t="s">
        <v>219</v>
      </c>
      <c r="M33" s="196" t="s">
        <v>221</v>
      </c>
      <c r="N33" s="196" t="s">
        <v>223</v>
      </c>
      <c r="O33" s="196"/>
      <c r="P33" s="196"/>
      <c r="Q33" s="196"/>
      <c r="R33" s="194"/>
      <c r="S33" s="194"/>
    </row>
    <row r="34" spans="1:19" x14ac:dyDescent="0.25">
      <c r="C34" s="196" t="s">
        <v>200</v>
      </c>
      <c r="D34" s="196" t="s">
        <v>201</v>
      </c>
      <c r="E34" s="196" t="s">
        <v>202</v>
      </c>
      <c r="F34" s="196" t="s">
        <v>204</v>
      </c>
      <c r="G34" s="196" t="s">
        <v>205</v>
      </c>
      <c r="H34" s="196" t="s">
        <v>206</v>
      </c>
      <c r="I34" s="196" t="s">
        <v>207</v>
      </c>
      <c r="J34" s="196" t="s">
        <v>203</v>
      </c>
      <c r="K34" s="196" t="s">
        <v>208</v>
      </c>
      <c r="L34" s="196" t="s">
        <v>205</v>
      </c>
      <c r="M34" s="196" t="s">
        <v>220</v>
      </c>
      <c r="N34" s="196" t="s">
        <v>222</v>
      </c>
      <c r="O34" s="196"/>
      <c r="P34" s="196"/>
      <c r="Q34" s="196"/>
      <c r="R34" s="196" t="s">
        <v>210</v>
      </c>
      <c r="S34" s="196" t="s">
        <v>211</v>
      </c>
    </row>
    <row r="35" spans="1:19" x14ac:dyDescent="0.25">
      <c r="A35" s="206" t="s">
        <v>209</v>
      </c>
      <c r="B35" s="199" t="s">
        <v>218</v>
      </c>
      <c r="C35" s="183">
        <f>E35/D35</f>
        <v>17.167115384615386</v>
      </c>
      <c r="D35">
        <f>13*4</f>
        <v>52</v>
      </c>
      <c r="E35">
        <v>892.69</v>
      </c>
      <c r="F35">
        <v>-55.35</v>
      </c>
      <c r="G35">
        <v>-12.94</v>
      </c>
      <c r="H35">
        <v>-37</v>
      </c>
      <c r="I35">
        <v>0</v>
      </c>
      <c r="J35" s="198">
        <f>SUM(E35:I35)</f>
        <v>787.4</v>
      </c>
      <c r="K35">
        <v>55.35</v>
      </c>
      <c r="L35">
        <v>12.94</v>
      </c>
      <c r="N35">
        <f>SUM(J35:M35)</f>
        <v>855.69</v>
      </c>
    </row>
    <row r="36" spans="1:19" x14ac:dyDescent="0.25">
      <c r="C36" s="183"/>
    </row>
    <row r="37" spans="1:19" x14ac:dyDescent="0.25">
      <c r="A37" s="206" t="s">
        <v>225</v>
      </c>
      <c r="C37" s="183" t="s">
        <v>226</v>
      </c>
      <c r="D37" t="s">
        <v>226</v>
      </c>
      <c r="E37">
        <v>416.67</v>
      </c>
      <c r="F37">
        <v>-25.83</v>
      </c>
      <c r="G37">
        <v>-6.04</v>
      </c>
      <c r="H37">
        <v>0</v>
      </c>
      <c r="I37">
        <v>0</v>
      </c>
      <c r="J37">
        <f>SUM(E37:I37)</f>
        <v>384.8</v>
      </c>
      <c r="K37">
        <v>25.83</v>
      </c>
      <c r="L37">
        <v>6.04</v>
      </c>
      <c r="N37">
        <f>SUM(J37:M37)</f>
        <v>416.67</v>
      </c>
    </row>
    <row r="38" spans="1:19" x14ac:dyDescent="0.25">
      <c r="C38" s="183"/>
    </row>
    <row r="39" spans="1:19" x14ac:dyDescent="0.25">
      <c r="A39" s="206" t="s">
        <v>209</v>
      </c>
      <c r="C39" s="183">
        <v>21.5</v>
      </c>
      <c r="D39">
        <v>42</v>
      </c>
      <c r="E39">
        <f>D39*C39</f>
        <v>903</v>
      </c>
      <c r="F39">
        <v>-55.99</v>
      </c>
      <c r="H39">
        <v>-23.22</v>
      </c>
      <c r="I39">
        <v>0</v>
      </c>
      <c r="J39">
        <f>SUM(E39:I39)</f>
        <v>823.79</v>
      </c>
      <c r="K39">
        <v>55.99</v>
      </c>
      <c r="L39">
        <v>13.1</v>
      </c>
      <c r="N39">
        <f>SUM(J39:M39)</f>
        <v>892.88</v>
      </c>
    </row>
    <row r="40" spans="1:19" x14ac:dyDescent="0.25">
      <c r="C40" s="183"/>
    </row>
    <row r="41" spans="1:19" x14ac:dyDescent="0.25">
      <c r="A41" s="206" t="s">
        <v>209</v>
      </c>
      <c r="C41" s="183">
        <v>21.5</v>
      </c>
      <c r="D41">
        <v>42</v>
      </c>
      <c r="E41">
        <f>D41*C41</f>
        <v>903</v>
      </c>
      <c r="F41">
        <v>-55.99</v>
      </c>
      <c r="H41">
        <v>-23.22</v>
      </c>
      <c r="I41">
        <v>0</v>
      </c>
      <c r="J41">
        <f>SUM(E41:I41)</f>
        <v>823.79</v>
      </c>
      <c r="K41">
        <v>55.99</v>
      </c>
      <c r="L41">
        <v>13.1</v>
      </c>
      <c r="N41">
        <f>SUM(J41:M41)</f>
        <v>892.88</v>
      </c>
    </row>
    <row r="43" spans="1:19" x14ac:dyDescent="0.25">
      <c r="D43">
        <f>0.2*60</f>
        <v>12</v>
      </c>
      <c r="E43">
        <f>0.2*550</f>
        <v>110</v>
      </c>
    </row>
    <row r="47" spans="1:19" x14ac:dyDescent="0.25">
      <c r="A47" s="206" t="s">
        <v>238</v>
      </c>
      <c r="R47">
        <f>72/12</f>
        <v>6</v>
      </c>
    </row>
  </sheetData>
  <pageMargins left="0.25" right="0.25" top="0.75" bottom="0.75" header="0.3" footer="0.3"/>
  <pageSetup scale="85" orientation="landscape" r:id="rId1"/>
  <headerFooter>
    <oddFooter>&amp;L&amp;F&amp;A&amp;R&amp;D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52"/>
  <sheetViews>
    <sheetView zoomScaleNormal="100" workbookViewId="0">
      <pane xSplit="4" ySplit="2" topLeftCell="V32" activePane="bottomRight" state="frozen"/>
      <selection pane="topRight" activeCell="E1" sqref="E1"/>
      <selection pane="bottomLeft" activeCell="A3" sqref="A3"/>
      <selection pane="bottomRight" activeCell="C50" sqref="C50"/>
    </sheetView>
  </sheetViews>
  <sheetFormatPr defaultColWidth="9.140625" defaultRowHeight="15" outlineLevelRow="2" x14ac:dyDescent="0.2"/>
  <cols>
    <col min="1" max="1" width="4.5703125" style="2" customWidth="1"/>
    <col min="2" max="2" width="3.28515625" style="2" customWidth="1"/>
    <col min="3" max="3" width="59.7109375" style="71" bestFit="1" customWidth="1"/>
    <col min="4" max="4" width="2.28515625" style="2" customWidth="1"/>
    <col min="5" max="6" width="14.28515625" style="2" hidden="1" customWidth="1"/>
    <col min="7" max="7" width="2.28515625" style="2" hidden="1" customWidth="1"/>
    <col min="8" max="8" width="14.28515625" style="2" hidden="1" customWidth="1"/>
    <col min="9" max="9" width="2.28515625" style="2" hidden="1" customWidth="1"/>
    <col min="10" max="10" width="11.140625" style="2" hidden="1" customWidth="1"/>
    <col min="11" max="12" width="2.28515625" style="2" hidden="1" customWidth="1"/>
    <col min="13" max="13" width="19.85546875" style="2" hidden="1" customWidth="1"/>
    <col min="14" max="14" width="2.7109375" style="2" hidden="1" customWidth="1"/>
    <col min="15" max="15" width="16.5703125" style="2" hidden="1" customWidth="1"/>
    <col min="16" max="16" width="2.7109375" style="2" hidden="1" customWidth="1"/>
    <col min="17" max="17" width="14.28515625" style="2" hidden="1" customWidth="1"/>
    <col min="18" max="18" width="2.28515625" style="2" hidden="1" customWidth="1"/>
    <col min="19" max="19" width="13.7109375" style="2" hidden="1" customWidth="1"/>
    <col min="20" max="21" width="16.5703125" style="2" hidden="1" customWidth="1"/>
    <col min="22" max="22" width="19.85546875" style="2" customWidth="1"/>
    <col min="23" max="23" width="2.7109375" style="2" bestFit="1" customWidth="1"/>
    <col min="24" max="24" width="16.5703125" style="2" bestFit="1" customWidth="1"/>
    <col min="25" max="25" width="2.7109375" style="2" bestFit="1" customWidth="1"/>
    <col min="26" max="26" width="2.28515625" style="2" hidden="1" customWidth="1"/>
    <col min="27" max="27" width="13.7109375" style="2" hidden="1" customWidth="1"/>
    <col min="28" max="28" width="28.7109375" style="1" bestFit="1" customWidth="1"/>
    <col min="29" max="29" width="12.7109375" style="232" bestFit="1" customWidth="1"/>
    <col min="30" max="16384" width="9.140625" style="1"/>
  </cols>
  <sheetData>
    <row r="1" spans="1:29" s="4" customFormat="1" ht="16.5" thickTop="1" x14ac:dyDescent="0.25">
      <c r="A1" s="130"/>
      <c r="B1" s="131"/>
      <c r="C1" s="131"/>
      <c r="D1" s="132"/>
      <c r="E1" s="132"/>
      <c r="F1" s="132" t="s">
        <v>170</v>
      </c>
      <c r="G1" s="132"/>
      <c r="H1" s="133"/>
      <c r="I1" s="132"/>
      <c r="J1" s="132" t="s">
        <v>91</v>
      </c>
      <c r="K1" s="132"/>
      <c r="L1" s="132"/>
      <c r="M1" s="132"/>
      <c r="N1" s="132"/>
      <c r="O1" s="134"/>
      <c r="P1" s="132"/>
      <c r="Q1" s="132" t="s">
        <v>91</v>
      </c>
      <c r="R1" s="132"/>
      <c r="S1" s="135" t="s">
        <v>58</v>
      </c>
      <c r="T1" s="160"/>
      <c r="U1" s="187"/>
      <c r="V1" s="132"/>
      <c r="W1" s="132"/>
      <c r="X1" s="189"/>
      <c r="Y1" s="132"/>
      <c r="Z1" s="132"/>
      <c r="AA1" s="135" t="s">
        <v>58</v>
      </c>
      <c r="AC1" s="229"/>
    </row>
    <row r="2" spans="1:29" s="90" customFormat="1" ht="45.75" thickBot="1" x14ac:dyDescent="0.3">
      <c r="A2" s="136"/>
      <c r="B2" s="137"/>
      <c r="C2" s="143"/>
      <c r="D2" s="138"/>
      <c r="E2" s="139" t="s">
        <v>169</v>
      </c>
      <c r="F2" s="139" t="s">
        <v>149</v>
      </c>
      <c r="G2" s="138"/>
      <c r="H2" s="140" t="s">
        <v>171</v>
      </c>
      <c r="I2" s="138"/>
      <c r="J2" s="139" t="s">
        <v>191</v>
      </c>
      <c r="K2" s="138"/>
      <c r="L2" s="138"/>
      <c r="M2" s="139" t="s">
        <v>177</v>
      </c>
      <c r="N2" s="138"/>
      <c r="O2" s="141" t="s">
        <v>178</v>
      </c>
      <c r="P2" s="138"/>
      <c r="Q2" s="139" t="s">
        <v>179</v>
      </c>
      <c r="R2" s="138"/>
      <c r="S2" s="142" t="s">
        <v>180</v>
      </c>
      <c r="T2" s="161" t="s">
        <v>196</v>
      </c>
      <c r="U2" s="188" t="s">
        <v>215</v>
      </c>
      <c r="V2" s="139" t="s">
        <v>192</v>
      </c>
      <c r="W2" s="138"/>
      <c r="X2" s="190" t="s">
        <v>193</v>
      </c>
      <c r="Y2" s="138"/>
      <c r="Z2" s="138"/>
      <c r="AA2" s="142" t="s">
        <v>195</v>
      </c>
      <c r="AC2" s="230"/>
    </row>
    <row r="3" spans="1:29" s="4" customFormat="1" ht="18.75" outlineLevel="1" thickTop="1" x14ac:dyDescent="0.25">
      <c r="A3" s="29"/>
      <c r="B3" s="5"/>
      <c r="C3" s="60" t="s">
        <v>0</v>
      </c>
      <c r="D3" s="6"/>
      <c r="E3" s="7"/>
      <c r="F3" s="7"/>
      <c r="G3" s="6"/>
      <c r="H3" s="73"/>
      <c r="I3" s="16"/>
      <c r="J3" s="74"/>
      <c r="K3" s="16"/>
      <c r="L3" s="16"/>
      <c r="M3" s="73"/>
      <c r="N3" s="16"/>
      <c r="O3" s="73"/>
      <c r="P3" s="16"/>
      <c r="Q3" s="74"/>
      <c r="R3" s="16"/>
      <c r="S3" s="73"/>
      <c r="T3" s="162"/>
      <c r="U3" s="73"/>
      <c r="V3" s="73"/>
      <c r="W3" s="16"/>
      <c r="X3" s="73"/>
      <c r="Y3" s="16"/>
      <c r="Z3" s="16"/>
      <c r="AA3" s="73"/>
      <c r="AC3" s="229"/>
    </row>
    <row r="4" spans="1:29" s="4" customFormat="1" ht="18" outlineLevel="1" x14ac:dyDescent="0.25">
      <c r="A4" s="6"/>
      <c r="C4" s="61"/>
      <c r="D4" s="6"/>
      <c r="E4" s="7"/>
      <c r="F4" s="7"/>
      <c r="G4" s="6"/>
      <c r="H4" s="75"/>
      <c r="I4" s="16"/>
      <c r="J4" s="83"/>
      <c r="K4" s="16"/>
      <c r="L4" s="16"/>
      <c r="M4" s="73"/>
      <c r="N4" s="16"/>
      <c r="O4" s="75"/>
      <c r="P4" s="16"/>
      <c r="Q4" s="83"/>
      <c r="R4" s="16"/>
      <c r="S4" s="73"/>
      <c r="T4" s="163"/>
      <c r="U4" s="75"/>
      <c r="V4" s="73"/>
      <c r="W4" s="16"/>
      <c r="X4" s="75"/>
      <c r="Y4" s="16"/>
      <c r="Z4" s="16"/>
      <c r="AA4" s="73"/>
      <c r="AC4" s="229"/>
    </row>
    <row r="5" spans="1:29" s="4" customFormat="1" ht="18" outlineLevel="2" x14ac:dyDescent="0.25">
      <c r="A5" s="29" t="s">
        <v>1</v>
      </c>
      <c r="C5" s="5" t="s">
        <v>1</v>
      </c>
      <c r="D5" s="6"/>
      <c r="E5" s="7"/>
      <c r="F5" s="7"/>
      <c r="G5" s="6"/>
      <c r="H5" s="75"/>
      <c r="I5" s="16"/>
      <c r="J5" s="74"/>
      <c r="K5" s="16"/>
      <c r="L5" s="16"/>
      <c r="M5" s="73"/>
      <c r="N5" s="16"/>
      <c r="O5" s="75"/>
      <c r="P5" s="16"/>
      <c r="Q5" s="74"/>
      <c r="R5" s="16"/>
      <c r="S5" s="73"/>
      <c r="T5" s="163"/>
      <c r="U5" s="75"/>
      <c r="V5" s="73"/>
      <c r="W5" s="16"/>
      <c r="X5" s="75"/>
      <c r="Y5" s="16"/>
      <c r="Z5" s="16"/>
      <c r="AA5" s="73"/>
      <c r="AC5" s="229"/>
    </row>
    <row r="6" spans="1:29" s="4" customFormat="1" ht="18" outlineLevel="2" x14ac:dyDescent="0.25">
      <c r="A6" s="30" t="s">
        <v>1</v>
      </c>
      <c r="C6" s="61" t="s">
        <v>311</v>
      </c>
      <c r="D6" s="6"/>
      <c r="E6" s="7">
        <v>600</v>
      </c>
      <c r="F6" s="7">
        <f t="shared" ref="F6:F7" si="0">(E6/10)*12</f>
        <v>720</v>
      </c>
      <c r="G6" s="6"/>
      <c r="H6" s="75">
        <v>1214</v>
      </c>
      <c r="I6" s="16"/>
      <c r="J6" s="77" t="e">
        <f>H6/#REF!</f>
        <v>#REF!</v>
      </c>
      <c r="K6" s="16"/>
      <c r="L6" s="16"/>
      <c r="M6" s="105" t="s">
        <v>152</v>
      </c>
      <c r="N6" s="16"/>
      <c r="O6" s="75">
        <v>1220</v>
      </c>
      <c r="P6" s="16"/>
      <c r="Q6" s="77" t="e">
        <f>O6/#REF!</f>
        <v>#REF!</v>
      </c>
      <c r="R6" s="16"/>
      <c r="S6" s="73">
        <f>O6/12</f>
        <v>101.66666666666667</v>
      </c>
      <c r="T6" s="163">
        <v>1220</v>
      </c>
      <c r="U6" s="73">
        <f>(2741.5/10)*12</f>
        <v>3289.7999999999997</v>
      </c>
      <c r="V6" s="177"/>
      <c r="W6" s="16"/>
      <c r="X6" s="75">
        <v>1220</v>
      </c>
      <c r="Y6" s="16"/>
      <c r="Z6" s="16"/>
      <c r="AA6" s="73">
        <f>X6/12</f>
        <v>101.66666666666667</v>
      </c>
      <c r="AC6" s="229"/>
    </row>
    <row r="7" spans="1:29" s="4" customFormat="1" ht="18" outlineLevel="2" x14ac:dyDescent="0.25">
      <c r="A7" s="30" t="s">
        <v>96</v>
      </c>
      <c r="C7" s="61" t="s">
        <v>96</v>
      </c>
      <c r="D7" s="6"/>
      <c r="E7" s="7">
        <v>0</v>
      </c>
      <c r="F7" s="7">
        <f t="shared" si="0"/>
        <v>0</v>
      </c>
      <c r="G7" s="6"/>
      <c r="H7" s="75">
        <v>500</v>
      </c>
      <c r="I7" s="16"/>
      <c r="J7" s="77" t="e">
        <f>H7/#REF!</f>
        <v>#REF!</v>
      </c>
      <c r="K7" s="16"/>
      <c r="L7" s="16"/>
      <c r="M7" s="105" t="s">
        <v>153</v>
      </c>
      <c r="N7" s="16"/>
      <c r="O7" s="75">
        <v>500</v>
      </c>
      <c r="P7" s="16"/>
      <c r="Q7" s="77" t="e">
        <f>O7/#REF!</f>
        <v>#REF!</v>
      </c>
      <c r="R7" s="16"/>
      <c r="S7" s="73">
        <f t="shared" ref="S7:S8" si="1">O7/12</f>
        <v>41.666666666666664</v>
      </c>
      <c r="T7" s="163">
        <v>500</v>
      </c>
      <c r="U7" s="73"/>
      <c r="V7" s="177"/>
      <c r="W7" s="16"/>
      <c r="X7" s="75">
        <v>500</v>
      </c>
      <c r="Y7" s="16"/>
      <c r="Z7" s="16"/>
      <c r="AA7" s="73">
        <f>X7/12</f>
        <v>41.666666666666664</v>
      </c>
      <c r="AB7" s="4" t="s">
        <v>308</v>
      </c>
      <c r="AC7" s="229"/>
    </row>
    <row r="8" spans="1:29" s="4" customFormat="1" ht="18" outlineLevel="1" x14ac:dyDescent="0.25">
      <c r="A8" s="28" t="s">
        <v>101</v>
      </c>
      <c r="B8" s="27"/>
      <c r="C8" s="62"/>
      <c r="D8" s="24"/>
      <c r="E8" s="78">
        <f>SUBTOTAL(9,E5:E7)</f>
        <v>600</v>
      </c>
      <c r="F8" s="78">
        <f>SUBTOTAL(9,F5:F7)</f>
        <v>720</v>
      </c>
      <c r="G8" s="24"/>
      <c r="H8" s="78">
        <f>SUBTOTAL(9,H5:H7)</f>
        <v>1714</v>
      </c>
      <c r="I8" s="81"/>
      <c r="J8" s="80" t="e">
        <f>SUBTOTAL(9,J5:J7)</f>
        <v>#REF!</v>
      </c>
      <c r="K8" s="81"/>
      <c r="L8" s="81"/>
      <c r="M8" s="82"/>
      <c r="N8" s="81"/>
      <c r="O8" s="78">
        <f>SUBTOTAL(9,O5:O7)</f>
        <v>1720</v>
      </c>
      <c r="P8" s="81"/>
      <c r="Q8" s="80" t="e">
        <f>SUBTOTAL(9,Q5:Q7)</f>
        <v>#REF!</v>
      </c>
      <c r="R8" s="81"/>
      <c r="S8" s="82">
        <f t="shared" si="1"/>
        <v>143.33333333333334</v>
      </c>
      <c r="T8" s="164">
        <f>SUBTOTAL(9,T5:T7)</f>
        <v>1720</v>
      </c>
      <c r="U8" s="78">
        <f>SUM(U6:U7)</f>
        <v>3289.7999999999997</v>
      </c>
      <c r="V8" s="82"/>
      <c r="W8" s="81"/>
      <c r="X8" s="78">
        <f>SUBTOTAL(9,X5:X7)</f>
        <v>1720</v>
      </c>
      <c r="Y8" s="81"/>
      <c r="Z8" s="81"/>
      <c r="AA8" s="82">
        <f>X8/12</f>
        <v>143.33333333333334</v>
      </c>
      <c r="AC8" s="229"/>
    </row>
    <row r="9" spans="1:29" s="4" customFormat="1" ht="18" x14ac:dyDescent="0.25">
      <c r="A9" s="6"/>
      <c r="B9" s="6"/>
      <c r="C9" s="65"/>
      <c r="D9" s="15"/>
      <c r="E9" s="3"/>
      <c r="F9" s="3"/>
      <c r="G9" s="15"/>
      <c r="H9" s="90"/>
      <c r="I9" s="91"/>
      <c r="J9" s="89"/>
      <c r="K9" s="91"/>
      <c r="L9" s="16"/>
      <c r="M9" s="3"/>
      <c r="N9" s="91"/>
      <c r="O9" s="104"/>
      <c r="P9" s="91"/>
      <c r="R9" s="91"/>
      <c r="S9" s="92"/>
      <c r="T9" s="166"/>
      <c r="U9" s="104"/>
      <c r="V9" s="3"/>
      <c r="W9" s="91"/>
      <c r="X9" s="104"/>
      <c r="Y9" s="91"/>
      <c r="Z9" s="91"/>
      <c r="AA9" s="92"/>
      <c r="AC9" s="229"/>
    </row>
    <row r="10" spans="1:29" s="4" customFormat="1" ht="18" x14ac:dyDescent="0.25">
      <c r="A10" s="16" t="s">
        <v>6</v>
      </c>
      <c r="B10" s="6"/>
      <c r="C10" s="65"/>
      <c r="D10" s="15"/>
      <c r="E10" s="92"/>
      <c r="F10" s="92"/>
      <c r="G10" s="15"/>
      <c r="H10" s="93"/>
      <c r="I10" s="91"/>
      <c r="J10" s="92"/>
      <c r="K10" s="91"/>
      <c r="L10" s="16"/>
      <c r="M10" s="94"/>
      <c r="N10" s="91"/>
      <c r="P10" s="91"/>
      <c r="Q10" s="92"/>
      <c r="R10" s="91"/>
      <c r="S10" s="92"/>
      <c r="T10" s="167"/>
      <c r="U10" s="93"/>
      <c r="V10" s="94"/>
      <c r="W10" s="91"/>
      <c r="Y10" s="91"/>
      <c r="Z10" s="91"/>
      <c r="AA10" s="92"/>
      <c r="AC10" s="229"/>
    </row>
    <row r="11" spans="1:29" s="4" customFormat="1" ht="15.75" outlineLevel="1" x14ac:dyDescent="0.25">
      <c r="A11" s="6"/>
      <c r="B11" s="6"/>
      <c r="C11" s="61"/>
      <c r="D11" s="6"/>
      <c r="E11" s="7"/>
      <c r="F11" s="7"/>
      <c r="G11" s="6"/>
      <c r="H11" s="7"/>
      <c r="I11" s="6"/>
      <c r="J11" s="14"/>
      <c r="K11" s="6"/>
      <c r="L11" s="6"/>
      <c r="M11" s="7"/>
      <c r="N11" s="6"/>
      <c r="O11" s="7"/>
      <c r="P11" s="6"/>
      <c r="Q11" s="14"/>
      <c r="R11" s="6"/>
      <c r="S11" s="7"/>
      <c r="T11" s="169"/>
      <c r="U11" s="8"/>
      <c r="V11" s="7"/>
      <c r="W11" s="6"/>
      <c r="X11" s="7"/>
      <c r="Y11" s="6"/>
      <c r="Z11" s="6"/>
      <c r="AA11" s="7"/>
      <c r="AC11" s="229"/>
    </row>
    <row r="12" spans="1:29" s="4" customFormat="1" ht="15.75" outlineLevel="2" x14ac:dyDescent="0.25">
      <c r="A12" s="30" t="s">
        <v>30</v>
      </c>
      <c r="C12" s="5" t="s">
        <v>30</v>
      </c>
      <c r="D12" s="6"/>
      <c r="E12" s="7"/>
      <c r="F12" s="7"/>
      <c r="G12" s="6"/>
      <c r="H12" s="8"/>
      <c r="I12" s="6"/>
      <c r="J12" s="14"/>
      <c r="K12" s="6"/>
      <c r="L12" s="6"/>
      <c r="M12" s="7"/>
      <c r="N12" s="6"/>
      <c r="O12" s="8"/>
      <c r="P12" s="6"/>
      <c r="Q12" s="14"/>
      <c r="R12" s="6"/>
      <c r="S12" s="7"/>
      <c r="T12" s="172"/>
      <c r="V12" s="7"/>
      <c r="W12" s="6"/>
      <c r="X12" s="8"/>
      <c r="Y12" s="6"/>
      <c r="Z12" s="6"/>
      <c r="AA12" s="7"/>
      <c r="AC12" s="229"/>
    </row>
    <row r="13" spans="1:29" s="4" customFormat="1" ht="15.75" outlineLevel="2" x14ac:dyDescent="0.25">
      <c r="A13" s="30" t="s">
        <v>30</v>
      </c>
      <c r="B13" s="6"/>
      <c r="C13" s="6" t="s">
        <v>32</v>
      </c>
      <c r="D13" s="6"/>
      <c r="E13" s="7">
        <v>13259.4</v>
      </c>
      <c r="F13" s="7">
        <f>(E13/10)*12</f>
        <v>15911.28</v>
      </c>
      <c r="G13" s="6"/>
      <c r="H13" s="8">
        <v>15000</v>
      </c>
      <c r="I13" s="6"/>
      <c r="J13" s="9" t="e">
        <f>H13/#REF!</f>
        <v>#REF!</v>
      </c>
      <c r="K13" s="6"/>
      <c r="L13" s="6"/>
      <c r="M13" s="7"/>
      <c r="N13" s="6"/>
      <c r="O13" s="8">
        <v>15000</v>
      </c>
      <c r="P13" s="6"/>
      <c r="Q13" s="9" t="e">
        <f>O13/#REF!</f>
        <v>#REF!</v>
      </c>
      <c r="R13" s="6"/>
      <c r="S13" s="7">
        <f>O13/12</f>
        <v>1250</v>
      </c>
      <c r="T13" s="169">
        <v>15000</v>
      </c>
      <c r="U13" s="8">
        <f>(18294.01/10)*12</f>
        <v>21952.811999999998</v>
      </c>
      <c r="V13" s="7" t="s">
        <v>261</v>
      </c>
      <c r="W13" s="6"/>
      <c r="X13" s="8">
        <v>20000</v>
      </c>
      <c r="Y13" s="6"/>
      <c r="Z13" s="6"/>
      <c r="AA13" s="7">
        <f>X13/12</f>
        <v>1666.6666666666667</v>
      </c>
      <c r="AB13" s="4" t="s">
        <v>266</v>
      </c>
      <c r="AC13" s="229"/>
    </row>
    <row r="14" spans="1:29" s="4" customFormat="1" ht="15.75" outlineLevel="2" x14ac:dyDescent="0.25">
      <c r="A14" s="6"/>
      <c r="B14" s="224"/>
      <c r="C14" s="6" t="s">
        <v>148</v>
      </c>
      <c r="D14" s="6"/>
      <c r="E14" s="7">
        <v>0</v>
      </c>
      <c r="F14" s="7">
        <f>(E14/10)*12</f>
        <v>0</v>
      </c>
      <c r="G14" s="6"/>
      <c r="H14" s="8"/>
      <c r="I14" s="6"/>
      <c r="J14" s="9"/>
      <c r="K14" s="6"/>
      <c r="L14" s="6"/>
      <c r="M14" s="7"/>
      <c r="N14" s="6"/>
      <c r="O14" s="8">
        <v>4000</v>
      </c>
      <c r="P14" s="6"/>
      <c r="Q14" s="9"/>
      <c r="R14" s="6"/>
      <c r="S14" s="7"/>
      <c r="T14" s="169">
        <v>4000</v>
      </c>
      <c r="U14" s="8">
        <f>(4252.56/10)*12</f>
        <v>5103.0720000000001</v>
      </c>
      <c r="V14" s="7"/>
      <c r="W14" s="6"/>
      <c r="X14" s="8">
        <v>4000</v>
      </c>
      <c r="Y14" s="6"/>
      <c r="Z14" s="6"/>
      <c r="AA14" s="7"/>
      <c r="AB14" s="7" t="s">
        <v>264</v>
      </c>
      <c r="AC14" s="229"/>
    </row>
    <row r="15" spans="1:29" s="4" customFormat="1" ht="15.75" outlineLevel="2" x14ac:dyDescent="0.25">
      <c r="A15" s="30" t="s">
        <v>33</v>
      </c>
      <c r="B15" s="5"/>
      <c r="C15" s="6" t="s">
        <v>35</v>
      </c>
      <c r="D15" s="6"/>
      <c r="E15" s="7">
        <v>2057.9699999999998</v>
      </c>
      <c r="F15" s="7">
        <f>(E15/10)*12</f>
        <v>2469.5639999999994</v>
      </c>
      <c r="G15" s="6"/>
      <c r="H15" s="8">
        <v>2000</v>
      </c>
      <c r="I15" s="6"/>
      <c r="J15" s="9" t="e">
        <f>H15/#REF!</f>
        <v>#REF!</v>
      </c>
      <c r="K15" s="6"/>
      <c r="L15" s="6"/>
      <c r="M15" s="7"/>
      <c r="N15" s="6"/>
      <c r="O15" s="8">
        <v>2000</v>
      </c>
      <c r="P15" s="6"/>
      <c r="Q15" s="9" t="e">
        <f>O15/#REF!</f>
        <v>#REF!</v>
      </c>
      <c r="R15" s="6"/>
      <c r="S15" s="7">
        <f>O15/12</f>
        <v>166.66666666666666</v>
      </c>
      <c r="T15" s="169">
        <v>2000</v>
      </c>
      <c r="U15" s="8">
        <f>(1792.64/10)*12</f>
        <v>2151.1680000000001</v>
      </c>
      <c r="V15" s="7"/>
      <c r="W15" s="6"/>
      <c r="X15" s="8">
        <v>2000</v>
      </c>
      <c r="Y15" s="6"/>
      <c r="Z15" s="6"/>
      <c r="AA15" s="7">
        <f>X15/12</f>
        <v>166.66666666666666</v>
      </c>
      <c r="AB15" s="4" t="s">
        <v>263</v>
      </c>
      <c r="AC15" s="229"/>
    </row>
    <row r="16" spans="1:29" s="4" customFormat="1" ht="15.75" outlineLevel="2" x14ac:dyDescent="0.25">
      <c r="A16" s="30" t="s">
        <v>71</v>
      </c>
      <c r="B16" s="6"/>
      <c r="C16" s="61" t="s">
        <v>69</v>
      </c>
      <c r="D16" s="6"/>
      <c r="E16" s="7">
        <v>0</v>
      </c>
      <c r="F16" s="7">
        <f>(E16/10)*12</f>
        <v>0</v>
      </c>
      <c r="G16" s="6"/>
      <c r="H16" s="8">
        <v>500</v>
      </c>
      <c r="I16" s="6"/>
      <c r="J16" s="9" t="e">
        <f>H16/#REF!</f>
        <v>#REF!</v>
      </c>
      <c r="K16" s="6"/>
      <c r="L16" s="6"/>
      <c r="M16" s="7"/>
      <c r="N16" s="6"/>
      <c r="O16" s="8">
        <v>500</v>
      </c>
      <c r="P16" s="6"/>
      <c r="Q16" s="9" t="e">
        <f>O16/#REF!</f>
        <v>#REF!</v>
      </c>
      <c r="R16" s="6"/>
      <c r="S16" s="7">
        <f>O16/12</f>
        <v>41.666666666666664</v>
      </c>
      <c r="T16" s="169">
        <v>500</v>
      </c>
      <c r="U16" s="8">
        <f>(2520.77/8)*12</f>
        <v>3781.1549999999997</v>
      </c>
      <c r="V16" s="226" t="s">
        <v>252</v>
      </c>
      <c r="W16" s="6"/>
      <c r="X16" s="8">
        <v>1000</v>
      </c>
      <c r="Y16" s="6"/>
      <c r="Z16" s="6"/>
      <c r="AA16" s="7">
        <f>X16/12</f>
        <v>83.333333333333329</v>
      </c>
      <c r="AB16" s="228" t="s">
        <v>265</v>
      </c>
      <c r="AC16" s="229"/>
    </row>
    <row r="17" spans="1:29" s="4" customFormat="1" ht="15.75" outlineLevel="2" x14ac:dyDescent="0.25">
      <c r="A17" s="30" t="s">
        <v>71</v>
      </c>
      <c r="B17" s="6"/>
      <c r="C17" s="6" t="s">
        <v>68</v>
      </c>
      <c r="D17" s="6"/>
      <c r="E17" s="7">
        <v>12402</v>
      </c>
      <c r="F17" s="7">
        <f>(E17/10)*12</f>
        <v>14882.400000000001</v>
      </c>
      <c r="G17" s="6"/>
      <c r="H17" s="8">
        <v>8500</v>
      </c>
      <c r="I17" s="6"/>
      <c r="J17" s="9" t="e">
        <f>H17/#REF!</f>
        <v>#REF!</v>
      </c>
      <c r="K17" s="6"/>
      <c r="L17" s="6"/>
      <c r="M17" s="7"/>
      <c r="N17" s="6"/>
      <c r="O17" s="8">
        <v>16000</v>
      </c>
      <c r="P17" s="6"/>
      <c r="Q17" s="9" t="e">
        <f>O17/#REF!</f>
        <v>#REF!</v>
      </c>
      <c r="R17" s="6"/>
      <c r="S17" s="7">
        <f>O17/12</f>
        <v>1333.3333333333333</v>
      </c>
      <c r="T17" s="169">
        <v>16000</v>
      </c>
      <c r="U17" s="8">
        <f>(14192.59/10)*12</f>
        <v>17031.108</v>
      </c>
      <c r="V17" s="226" t="s">
        <v>251</v>
      </c>
      <c r="W17" s="6"/>
      <c r="X17" s="8">
        <v>17000</v>
      </c>
      <c r="Y17" s="6"/>
      <c r="Z17" s="6"/>
      <c r="AA17" s="7">
        <f>X17/12</f>
        <v>1416.6666666666667</v>
      </c>
      <c r="AB17" s="4" t="s">
        <v>268</v>
      </c>
      <c r="AC17" s="229"/>
    </row>
    <row r="18" spans="1:29" s="4" customFormat="1" ht="15.75" outlineLevel="2" x14ac:dyDescent="0.25">
      <c r="A18" s="30" t="s">
        <v>72</v>
      </c>
      <c r="C18" s="60" t="s">
        <v>72</v>
      </c>
      <c r="D18" s="6"/>
      <c r="E18" s="7">
        <v>0</v>
      </c>
      <c r="F18" s="7">
        <f t="shared" ref="F18:F27" si="2">(E18/10)*12</f>
        <v>0</v>
      </c>
      <c r="G18" s="6"/>
      <c r="H18" s="8"/>
      <c r="I18" s="6"/>
      <c r="J18" s="14"/>
      <c r="K18" s="6"/>
      <c r="L18" s="6"/>
      <c r="M18" s="7"/>
      <c r="N18" s="6"/>
      <c r="O18" s="8"/>
      <c r="P18" s="6"/>
      <c r="Q18" s="14"/>
      <c r="R18" s="6"/>
      <c r="S18" s="7"/>
      <c r="T18" s="172"/>
      <c r="V18" s="18"/>
      <c r="W18" s="6"/>
      <c r="X18" s="8"/>
      <c r="Y18" s="6"/>
      <c r="Z18" s="6"/>
      <c r="AA18" s="7"/>
      <c r="AC18" s="229"/>
    </row>
    <row r="19" spans="1:29" s="4" customFormat="1" ht="15.75" outlineLevel="2" x14ac:dyDescent="0.25">
      <c r="A19" s="30" t="s">
        <v>72</v>
      </c>
      <c r="B19" s="5"/>
      <c r="C19" s="61" t="s">
        <v>73</v>
      </c>
      <c r="D19" s="6"/>
      <c r="E19" s="7">
        <v>2111.9299999999998</v>
      </c>
      <c r="F19" s="7">
        <f t="shared" si="2"/>
        <v>2534.3159999999998</v>
      </c>
      <c r="G19" s="6"/>
      <c r="H19" s="8">
        <v>3500</v>
      </c>
      <c r="I19" s="6"/>
      <c r="J19" s="9" t="e">
        <f>H19/#REF!</f>
        <v>#REF!</v>
      </c>
      <c r="K19" s="6"/>
      <c r="L19" s="6"/>
      <c r="M19" s="7"/>
      <c r="N19" s="6"/>
      <c r="O19" s="8">
        <v>3000</v>
      </c>
      <c r="P19" s="6"/>
      <c r="Q19" s="9" t="e">
        <f>O19/#REF!</f>
        <v>#REF!</v>
      </c>
      <c r="R19" s="6"/>
      <c r="S19" s="7">
        <f t="shared" ref="S19:S32" si="3">O19/12</f>
        <v>250</v>
      </c>
      <c r="T19" s="169">
        <v>3000</v>
      </c>
      <c r="U19" s="8">
        <f>(4018.98/10)*12</f>
        <v>4822.7759999999998</v>
      </c>
      <c r="V19" s="227" t="s">
        <v>254</v>
      </c>
      <c r="W19" s="6"/>
      <c r="X19" s="8">
        <v>3300</v>
      </c>
      <c r="Y19" s="6"/>
      <c r="Z19" s="6"/>
      <c r="AA19" s="7">
        <f>X19/12</f>
        <v>275</v>
      </c>
      <c r="AB19" s="4" t="s">
        <v>269</v>
      </c>
      <c r="AC19" s="229">
        <v>1464</v>
      </c>
    </row>
    <row r="20" spans="1:29" s="4" customFormat="1" ht="15.75" outlineLevel="2" x14ac:dyDescent="0.25">
      <c r="A20" s="30"/>
      <c r="B20" s="5"/>
      <c r="C20" s="61"/>
      <c r="D20" s="6"/>
      <c r="E20" s="7"/>
      <c r="F20" s="7"/>
      <c r="G20" s="6"/>
      <c r="H20" s="8"/>
      <c r="I20" s="6"/>
      <c r="J20" s="9"/>
      <c r="K20" s="6"/>
      <c r="L20" s="6"/>
      <c r="M20" s="7"/>
      <c r="N20" s="6"/>
      <c r="O20" s="8"/>
      <c r="P20" s="6"/>
      <c r="Q20" s="9"/>
      <c r="R20" s="6"/>
      <c r="S20" s="7"/>
      <c r="T20" s="169"/>
      <c r="U20" s="8"/>
      <c r="V20" s="227"/>
      <c r="W20" s="6"/>
      <c r="X20" s="8"/>
      <c r="Y20" s="6"/>
      <c r="Z20" s="6"/>
      <c r="AA20" s="7"/>
      <c r="AB20" s="4" t="s">
        <v>270</v>
      </c>
      <c r="AC20" s="229">
        <v>1834.32</v>
      </c>
    </row>
    <row r="21" spans="1:29" s="4" customFormat="1" ht="16.5" outlineLevel="2" thickBot="1" x14ac:dyDescent="0.3">
      <c r="A21" s="30"/>
      <c r="B21" s="5"/>
      <c r="C21" s="61"/>
      <c r="D21" s="6"/>
      <c r="E21" s="7"/>
      <c r="F21" s="7"/>
      <c r="G21" s="6"/>
      <c r="H21" s="8"/>
      <c r="I21" s="6"/>
      <c r="J21" s="9"/>
      <c r="K21" s="6"/>
      <c r="L21" s="6"/>
      <c r="M21" s="7"/>
      <c r="N21" s="6"/>
      <c r="O21" s="8"/>
      <c r="P21" s="6"/>
      <c r="Q21" s="9"/>
      <c r="R21" s="6"/>
      <c r="S21" s="7"/>
      <c r="T21" s="169"/>
      <c r="U21" s="8"/>
      <c r="V21" s="227"/>
      <c r="W21" s="6"/>
      <c r="X21" s="8"/>
      <c r="Y21" s="6"/>
      <c r="Z21" s="6"/>
      <c r="AA21" s="7"/>
      <c r="AB21" s="4" t="s">
        <v>271</v>
      </c>
      <c r="AC21" s="233">
        <f>SUM(AC19:AC20)</f>
        <v>3298.3199999999997</v>
      </c>
    </row>
    <row r="22" spans="1:29" s="4" customFormat="1" ht="16.5" outlineLevel="2" thickTop="1" x14ac:dyDescent="0.25">
      <c r="A22" s="30" t="s">
        <v>72</v>
      </c>
      <c r="B22" s="5"/>
      <c r="C22" s="61" t="s">
        <v>75</v>
      </c>
      <c r="D22" s="6"/>
      <c r="E22" s="7">
        <v>1502.08</v>
      </c>
      <c r="F22" s="7">
        <f t="shared" si="2"/>
        <v>1802.4960000000001</v>
      </c>
      <c r="G22" s="6"/>
      <c r="H22" s="8">
        <v>3000</v>
      </c>
      <c r="I22" s="6"/>
      <c r="J22" s="9" t="e">
        <f>H22/#REF!</f>
        <v>#REF!</v>
      </c>
      <c r="K22" s="6"/>
      <c r="L22" s="6"/>
      <c r="M22" s="7"/>
      <c r="N22" s="6"/>
      <c r="O22" s="8">
        <v>2000</v>
      </c>
      <c r="P22" s="6"/>
      <c r="Q22" s="9" t="e">
        <f>O22/#REF!</f>
        <v>#REF!</v>
      </c>
      <c r="R22" s="6"/>
      <c r="S22" s="7">
        <f t="shared" si="3"/>
        <v>166.66666666666666</v>
      </c>
      <c r="T22" s="169">
        <v>2000</v>
      </c>
      <c r="U22" s="8">
        <f>(2464.62/10)*12</f>
        <v>2957.5439999999999</v>
      </c>
      <c r="V22" s="227" t="s">
        <v>251</v>
      </c>
      <c r="W22" s="6"/>
      <c r="X22" s="8">
        <v>3000</v>
      </c>
      <c r="Y22" s="6"/>
      <c r="Z22" s="6"/>
      <c r="AA22" s="7">
        <f>X22/12</f>
        <v>250</v>
      </c>
      <c r="AB22" s="4" t="s">
        <v>272</v>
      </c>
      <c r="AC22" s="229">
        <v>390.72</v>
      </c>
    </row>
    <row r="23" spans="1:29" s="4" customFormat="1" ht="15.75" outlineLevel="2" x14ac:dyDescent="0.25">
      <c r="A23" s="30"/>
      <c r="B23" s="5"/>
      <c r="C23" s="61"/>
      <c r="D23" s="6"/>
      <c r="E23" s="7"/>
      <c r="F23" s="7"/>
      <c r="G23" s="6"/>
      <c r="H23" s="8"/>
      <c r="I23" s="6"/>
      <c r="J23" s="9"/>
      <c r="K23" s="6"/>
      <c r="L23" s="6"/>
      <c r="M23" s="7"/>
      <c r="N23" s="6"/>
      <c r="O23" s="8"/>
      <c r="P23" s="6"/>
      <c r="Q23" s="9"/>
      <c r="R23" s="6"/>
      <c r="S23" s="7"/>
      <c r="T23" s="169"/>
      <c r="U23" s="8"/>
      <c r="V23" s="227"/>
      <c r="W23" s="6"/>
      <c r="X23" s="8"/>
      <c r="Y23" s="6"/>
      <c r="Z23" s="6"/>
      <c r="AA23" s="7"/>
      <c r="AB23" s="4" t="s">
        <v>273</v>
      </c>
      <c r="AC23" s="229">
        <v>359.88</v>
      </c>
    </row>
    <row r="24" spans="1:29" s="4" customFormat="1" ht="15.75" outlineLevel="2" x14ac:dyDescent="0.25">
      <c r="A24" s="30"/>
      <c r="B24" s="5"/>
      <c r="C24" s="61"/>
      <c r="D24" s="6"/>
      <c r="E24" s="7"/>
      <c r="F24" s="7"/>
      <c r="G24" s="6"/>
      <c r="H24" s="8"/>
      <c r="I24" s="6"/>
      <c r="J24" s="9"/>
      <c r="K24" s="6"/>
      <c r="L24" s="6"/>
      <c r="M24" s="7"/>
      <c r="N24" s="6"/>
      <c r="O24" s="8"/>
      <c r="P24" s="6"/>
      <c r="Q24" s="9"/>
      <c r="R24" s="6"/>
      <c r="S24" s="7"/>
      <c r="T24" s="169"/>
      <c r="U24" s="8"/>
      <c r="V24" s="227"/>
      <c r="W24" s="6"/>
      <c r="X24" s="8"/>
      <c r="Y24" s="6"/>
      <c r="Z24" s="6"/>
      <c r="AA24" s="7"/>
      <c r="AB24" s="4" t="s">
        <v>274</v>
      </c>
      <c r="AC24" s="229">
        <v>240</v>
      </c>
    </row>
    <row r="25" spans="1:29" s="4" customFormat="1" ht="15.75" outlineLevel="2" x14ac:dyDescent="0.25">
      <c r="A25" s="30"/>
      <c r="B25" s="5"/>
      <c r="C25" s="61"/>
      <c r="D25" s="6"/>
      <c r="E25" s="7"/>
      <c r="F25" s="7"/>
      <c r="G25" s="6"/>
      <c r="H25" s="8"/>
      <c r="I25" s="6"/>
      <c r="J25" s="9"/>
      <c r="K25" s="6"/>
      <c r="L25" s="6"/>
      <c r="M25" s="7"/>
      <c r="N25" s="6"/>
      <c r="O25" s="8"/>
      <c r="P25" s="6"/>
      <c r="Q25" s="9"/>
      <c r="R25" s="6"/>
      <c r="S25" s="7"/>
      <c r="T25" s="169"/>
      <c r="U25" s="8"/>
      <c r="V25" s="227"/>
      <c r="W25" s="6"/>
      <c r="X25" s="8"/>
      <c r="Y25" s="6"/>
      <c r="Z25" s="6"/>
      <c r="AA25" s="7"/>
      <c r="AB25" s="4" t="s">
        <v>275</v>
      </c>
      <c r="AC25" s="229">
        <f>2000-990.6</f>
        <v>1009.4</v>
      </c>
    </row>
    <row r="26" spans="1:29" s="4" customFormat="1" ht="16.5" outlineLevel="2" thickBot="1" x14ac:dyDescent="0.3">
      <c r="A26" s="30"/>
      <c r="B26" s="5"/>
      <c r="C26" s="61"/>
      <c r="D26" s="6"/>
      <c r="E26" s="7"/>
      <c r="F26" s="7"/>
      <c r="G26" s="6"/>
      <c r="H26" s="8"/>
      <c r="I26" s="6"/>
      <c r="J26" s="9"/>
      <c r="K26" s="6"/>
      <c r="L26" s="6"/>
      <c r="M26" s="7"/>
      <c r="N26" s="6"/>
      <c r="O26" s="8"/>
      <c r="P26" s="6"/>
      <c r="Q26" s="9"/>
      <c r="R26" s="6"/>
      <c r="S26" s="7"/>
      <c r="T26" s="169"/>
      <c r="U26" s="8"/>
      <c r="V26" s="227"/>
      <c r="W26" s="6"/>
      <c r="X26" s="8"/>
      <c r="Y26" s="6"/>
      <c r="Z26" s="6"/>
      <c r="AA26" s="7"/>
      <c r="AC26" s="233">
        <f>SUM(AC22:AC25)</f>
        <v>2000</v>
      </c>
    </row>
    <row r="27" spans="1:29" s="4" customFormat="1" ht="17.25" outlineLevel="2" thickTop="1" thickBot="1" x14ac:dyDescent="0.3">
      <c r="A27" s="30" t="s">
        <v>72</v>
      </c>
      <c r="B27" s="5"/>
      <c r="C27" s="61" t="s">
        <v>76</v>
      </c>
      <c r="D27" s="6"/>
      <c r="E27" s="7">
        <v>636</v>
      </c>
      <c r="F27" s="7">
        <f t="shared" si="2"/>
        <v>763.2</v>
      </c>
      <c r="G27" s="6"/>
      <c r="H27" s="8">
        <v>760</v>
      </c>
      <c r="I27" s="6"/>
      <c r="J27" s="9" t="e">
        <f>H27/#REF!</f>
        <v>#REF!</v>
      </c>
      <c r="K27" s="6"/>
      <c r="L27" s="6"/>
      <c r="M27" s="7"/>
      <c r="N27" s="6"/>
      <c r="O27" s="8">
        <v>800</v>
      </c>
      <c r="P27" s="6"/>
      <c r="Q27" s="9" t="e">
        <f>O27/#REF!</f>
        <v>#REF!</v>
      </c>
      <c r="R27" s="6"/>
      <c r="S27" s="7">
        <f t="shared" si="3"/>
        <v>66.666666666666671</v>
      </c>
      <c r="T27" s="169">
        <v>800</v>
      </c>
      <c r="U27" s="8">
        <f>(798/10)*12</f>
        <v>957.59999999999991</v>
      </c>
      <c r="V27" s="18">
        <v>-300</v>
      </c>
      <c r="W27" s="6"/>
      <c r="X27" s="8">
        <v>500</v>
      </c>
      <c r="Y27" s="6"/>
      <c r="Z27" s="6"/>
      <c r="AA27" s="7">
        <f>X27/12</f>
        <v>41.666666666666664</v>
      </c>
      <c r="AB27" s="4" t="s">
        <v>276</v>
      </c>
      <c r="AC27" s="233">
        <v>500</v>
      </c>
    </row>
    <row r="28" spans="1:29" s="4" customFormat="1" ht="16.5" outlineLevel="2" thickTop="1" x14ac:dyDescent="0.25">
      <c r="A28" s="30" t="s">
        <v>72</v>
      </c>
      <c r="B28" s="6"/>
      <c r="C28" s="61" t="s">
        <v>184</v>
      </c>
      <c r="D28" s="6"/>
      <c r="F28" s="7"/>
      <c r="G28" s="6"/>
      <c r="H28" s="8">
        <v>3100</v>
      </c>
      <c r="I28" s="6"/>
      <c r="J28" s="9" t="e">
        <f>H28/#REF!</f>
        <v>#REF!</v>
      </c>
      <c r="K28" s="6"/>
      <c r="L28" s="6"/>
      <c r="M28" s="7"/>
      <c r="N28" s="6"/>
      <c r="O28" s="126"/>
      <c r="P28" s="6"/>
      <c r="Q28" s="9" t="e">
        <f>O28/#REF!</f>
        <v>#REF!</v>
      </c>
      <c r="R28" s="6"/>
      <c r="S28" s="7">
        <f t="shared" si="3"/>
        <v>0</v>
      </c>
      <c r="T28" s="173"/>
      <c r="U28" s="8">
        <f>(5613.21/10)*12</f>
        <v>6735.8520000000008</v>
      </c>
      <c r="V28" s="18">
        <v>-735</v>
      </c>
      <c r="W28" s="6"/>
      <c r="X28" s="126">
        <v>6000</v>
      </c>
      <c r="Y28" s="6"/>
      <c r="Z28" s="6"/>
      <c r="AA28" s="7">
        <f>X28/12</f>
        <v>500</v>
      </c>
      <c r="AB28" s="4" t="s">
        <v>277</v>
      </c>
      <c r="AC28" s="229">
        <v>3129.21</v>
      </c>
    </row>
    <row r="29" spans="1:29" s="4" customFormat="1" ht="15.75" outlineLevel="2" x14ac:dyDescent="0.25">
      <c r="A29" s="30"/>
      <c r="B29" s="6"/>
      <c r="C29" s="61"/>
      <c r="D29" s="6"/>
      <c r="F29" s="7"/>
      <c r="G29" s="6"/>
      <c r="H29" s="8"/>
      <c r="I29" s="6"/>
      <c r="J29" s="9"/>
      <c r="K29" s="6"/>
      <c r="L29" s="6"/>
      <c r="M29" s="7"/>
      <c r="N29" s="6"/>
      <c r="O29" s="126"/>
      <c r="P29" s="6"/>
      <c r="Q29" s="9"/>
      <c r="R29" s="6"/>
      <c r="S29" s="7"/>
      <c r="T29" s="173"/>
      <c r="U29" s="8"/>
      <c r="V29" s="18"/>
      <c r="W29" s="6"/>
      <c r="X29" s="126"/>
      <c r="Y29" s="6"/>
      <c r="Z29" s="6"/>
      <c r="AA29" s="7"/>
      <c r="AB29" s="4" t="s">
        <v>278</v>
      </c>
      <c r="AC29" s="229">
        <v>2160</v>
      </c>
    </row>
    <row r="30" spans="1:29" s="4" customFormat="1" ht="15.75" outlineLevel="2" x14ac:dyDescent="0.25">
      <c r="A30" s="30"/>
      <c r="B30" s="6"/>
      <c r="C30" s="61"/>
      <c r="D30" s="6"/>
      <c r="F30" s="7"/>
      <c r="G30" s="6"/>
      <c r="H30" s="8"/>
      <c r="I30" s="6"/>
      <c r="J30" s="9"/>
      <c r="K30" s="6"/>
      <c r="L30" s="6"/>
      <c r="M30" s="7"/>
      <c r="N30" s="6"/>
      <c r="O30" s="126"/>
      <c r="P30" s="6"/>
      <c r="Q30" s="9"/>
      <c r="R30" s="6"/>
      <c r="S30" s="7"/>
      <c r="T30" s="173"/>
      <c r="U30" s="8"/>
      <c r="V30" s="18"/>
      <c r="W30" s="6"/>
      <c r="X30" s="126"/>
      <c r="Y30" s="6"/>
      <c r="Z30" s="6"/>
      <c r="AA30" s="7"/>
      <c r="AB30" s="4" t="s">
        <v>279</v>
      </c>
      <c r="AC30" s="229">
        <v>325</v>
      </c>
    </row>
    <row r="31" spans="1:29" s="4" customFormat="1" ht="16.5" outlineLevel="2" thickBot="1" x14ac:dyDescent="0.3">
      <c r="A31" s="30"/>
      <c r="B31" s="6"/>
      <c r="C31" s="61"/>
      <c r="D31" s="6"/>
      <c r="F31" s="7"/>
      <c r="G31" s="6"/>
      <c r="H31" s="8"/>
      <c r="I31" s="6"/>
      <c r="J31" s="9"/>
      <c r="K31" s="6"/>
      <c r="L31" s="6"/>
      <c r="M31" s="7"/>
      <c r="N31" s="6"/>
      <c r="O31" s="126"/>
      <c r="P31" s="6"/>
      <c r="Q31" s="9"/>
      <c r="R31" s="6"/>
      <c r="S31" s="7"/>
      <c r="T31" s="173"/>
      <c r="U31" s="8"/>
      <c r="V31" s="18"/>
      <c r="W31" s="6"/>
      <c r="X31" s="126"/>
      <c r="Y31" s="6"/>
      <c r="Z31" s="6"/>
      <c r="AA31" s="7"/>
      <c r="AC31" s="233">
        <f>SUM(AC28:AC30)</f>
        <v>5614.21</v>
      </c>
    </row>
    <row r="32" spans="1:29" s="4" customFormat="1" ht="17.25" outlineLevel="2" thickTop="1" thickBot="1" x14ac:dyDescent="0.3">
      <c r="A32" s="30" t="s">
        <v>72</v>
      </c>
      <c r="B32" s="5"/>
      <c r="C32" s="61" t="s">
        <v>77</v>
      </c>
      <c r="D32" s="6"/>
      <c r="E32" s="7">
        <v>1648.69</v>
      </c>
      <c r="F32" s="7">
        <f>(E32/10)*12</f>
        <v>1978.4279999999999</v>
      </c>
      <c r="G32" s="6"/>
      <c r="H32" s="8">
        <v>6000</v>
      </c>
      <c r="I32" s="6"/>
      <c r="J32" s="9" t="e">
        <f>H32/#REF!</f>
        <v>#REF!</v>
      </c>
      <c r="K32" s="6"/>
      <c r="L32" s="6"/>
      <c r="M32" s="7"/>
      <c r="N32" s="6"/>
      <c r="O32" s="8">
        <v>3000</v>
      </c>
      <c r="P32" s="6"/>
      <c r="Q32" s="9" t="e">
        <f>O32/#REF!</f>
        <v>#REF!</v>
      </c>
      <c r="R32" s="6"/>
      <c r="S32" s="7">
        <f t="shared" si="3"/>
        <v>250</v>
      </c>
      <c r="T32" s="169">
        <v>3000</v>
      </c>
      <c r="U32" s="8">
        <f>(3106.7/10)*12</f>
        <v>3728.0399999999995</v>
      </c>
      <c r="V32" s="18" t="s">
        <v>259</v>
      </c>
      <c r="W32" s="6"/>
      <c r="X32" s="8">
        <v>4000</v>
      </c>
      <c r="Y32" s="6"/>
      <c r="Z32" s="6"/>
      <c r="AA32" s="7">
        <f>X32/12</f>
        <v>333.33333333333331</v>
      </c>
      <c r="AB32" s="4" t="s">
        <v>266</v>
      </c>
      <c r="AC32" s="233">
        <v>4000</v>
      </c>
    </row>
    <row r="33" spans="1:29" s="4" customFormat="1" ht="16.5" outlineLevel="2" thickTop="1" x14ac:dyDescent="0.25">
      <c r="A33" s="30" t="s">
        <v>37</v>
      </c>
      <c r="C33" s="5" t="s">
        <v>37</v>
      </c>
      <c r="D33" s="6"/>
      <c r="E33" s="7"/>
      <c r="F33" s="7"/>
      <c r="G33" s="6"/>
      <c r="H33" s="8"/>
      <c r="I33" s="6"/>
      <c r="J33" s="14"/>
      <c r="K33" s="6"/>
      <c r="L33" s="6"/>
      <c r="M33" s="8">
        <f>O34/624</f>
        <v>22.970256410256411</v>
      </c>
      <c r="N33" s="6"/>
      <c r="P33" s="6"/>
      <c r="Q33" s="14"/>
      <c r="R33" s="6"/>
      <c r="S33" s="7"/>
      <c r="T33" s="172"/>
      <c r="V33" s="8"/>
      <c r="W33" s="6"/>
      <c r="Y33" s="6"/>
      <c r="Z33" s="6"/>
      <c r="AA33" s="7"/>
      <c r="AC33" s="229"/>
    </row>
    <row r="34" spans="1:29" s="4" customFormat="1" ht="16.5" outlineLevel="2" thickBot="1" x14ac:dyDescent="0.3">
      <c r="A34" s="30" t="s">
        <v>37</v>
      </c>
      <c r="B34" s="5"/>
      <c r="C34" s="61" t="s">
        <v>143</v>
      </c>
      <c r="D34" s="6"/>
      <c r="E34" s="18">
        <v>11495.69</v>
      </c>
      <c r="F34" s="7">
        <f t="shared" ref="F34:F43" si="4">(E34/10)*12</f>
        <v>13794.828</v>
      </c>
      <c r="G34" s="6"/>
      <c r="H34" s="8">
        <v>11487</v>
      </c>
      <c r="I34" s="6"/>
      <c r="J34" s="9" t="e">
        <f>H34/#REF!</f>
        <v>#REF!</v>
      </c>
      <c r="K34" s="6"/>
      <c r="L34" s="6"/>
      <c r="M34" s="11" t="s">
        <v>163</v>
      </c>
      <c r="N34" s="6"/>
      <c r="O34" s="126">
        <v>14333.44</v>
      </c>
      <c r="P34" s="6"/>
      <c r="Q34" s="9" t="e">
        <f>O34/#REF!</f>
        <v>#REF!</v>
      </c>
      <c r="R34" s="6"/>
      <c r="S34" s="7">
        <f t="shared" ref="S34:S43" si="5">O34/12</f>
        <v>1194.4533333333334</v>
      </c>
      <c r="T34" s="169">
        <v>14333.44</v>
      </c>
      <c r="U34" s="8">
        <f>(9879.04/10)*12</f>
        <v>11854.848000000002</v>
      </c>
      <c r="V34" s="18" t="s">
        <v>260</v>
      </c>
      <c r="W34" s="6"/>
      <c r="X34" s="8">
        <v>11353</v>
      </c>
      <c r="Y34" s="6"/>
      <c r="Z34" s="6"/>
      <c r="AA34" s="7">
        <f>X34/12</f>
        <v>946.08333333333337</v>
      </c>
      <c r="AB34" s="4" t="s">
        <v>280</v>
      </c>
      <c r="AC34" s="233">
        <v>11353</v>
      </c>
    </row>
    <row r="35" spans="1:29" s="4" customFormat="1" ht="16.5" outlineLevel="2" thickTop="1" x14ac:dyDescent="0.25">
      <c r="A35" s="30"/>
      <c r="B35" s="5"/>
      <c r="C35" s="61"/>
      <c r="D35" s="6"/>
      <c r="E35" s="18"/>
      <c r="F35" s="7"/>
      <c r="G35" s="6"/>
      <c r="H35" s="8"/>
      <c r="I35" s="6"/>
      <c r="J35" s="9"/>
      <c r="K35" s="6"/>
      <c r="L35" s="6"/>
      <c r="M35" s="11"/>
      <c r="N35" s="6"/>
      <c r="O35" s="126"/>
      <c r="P35" s="6"/>
      <c r="Q35" s="9"/>
      <c r="R35" s="6"/>
      <c r="S35" s="7"/>
      <c r="T35" s="169"/>
      <c r="U35" s="8"/>
      <c r="V35" s="18"/>
      <c r="W35" s="6"/>
      <c r="X35" s="8"/>
      <c r="Y35" s="6"/>
      <c r="Z35" s="6"/>
      <c r="AA35" s="7"/>
      <c r="AB35" s="4" t="s">
        <v>309</v>
      </c>
      <c r="AC35" s="229"/>
    </row>
    <row r="36" spans="1:29" s="4" customFormat="1" ht="16.5" outlineLevel="2" thickBot="1" x14ac:dyDescent="0.3">
      <c r="A36" s="30" t="s">
        <v>37</v>
      </c>
      <c r="B36" s="5"/>
      <c r="C36" s="6" t="s">
        <v>82</v>
      </c>
      <c r="D36" s="6"/>
      <c r="E36" s="7">
        <v>7765</v>
      </c>
      <c r="F36" s="7">
        <f t="shared" si="4"/>
        <v>9318</v>
      </c>
      <c r="G36" s="6"/>
      <c r="H36" s="8">
        <v>8000</v>
      </c>
      <c r="I36" s="6"/>
      <c r="J36" s="9" t="e">
        <f>H36/#REF!</f>
        <v>#REF!</v>
      </c>
      <c r="K36" s="6"/>
      <c r="L36" s="6"/>
      <c r="M36" s="7"/>
      <c r="N36" s="6"/>
      <c r="O36" s="8">
        <v>10000</v>
      </c>
      <c r="P36" s="6"/>
      <c r="Q36" s="9" t="e">
        <f>O36/#REF!</f>
        <v>#REF!</v>
      </c>
      <c r="R36" s="6"/>
      <c r="S36" s="7">
        <f t="shared" si="5"/>
        <v>833.33333333333337</v>
      </c>
      <c r="T36" s="169">
        <v>10000</v>
      </c>
      <c r="U36" s="8">
        <f>(10235/10)*12</f>
        <v>12282</v>
      </c>
      <c r="V36" s="227" t="s">
        <v>255</v>
      </c>
      <c r="W36" s="6"/>
      <c r="X36" s="8">
        <v>13000</v>
      </c>
      <c r="Y36" s="6"/>
      <c r="Z36" s="6"/>
      <c r="AA36" s="7">
        <f>X36/12</f>
        <v>1083.3333333333333</v>
      </c>
      <c r="AB36" s="4" t="s">
        <v>310</v>
      </c>
      <c r="AC36" s="233">
        <v>13000</v>
      </c>
    </row>
    <row r="37" spans="1:29" s="4" customFormat="1" ht="16.5" outlineLevel="2" thickTop="1" x14ac:dyDescent="0.25">
      <c r="A37" s="30" t="s">
        <v>37</v>
      </c>
      <c r="B37" s="5"/>
      <c r="C37" s="6" t="s">
        <v>83</v>
      </c>
      <c r="D37" s="6"/>
      <c r="E37" s="7">
        <v>5478.32</v>
      </c>
      <c r="F37" s="7">
        <f t="shared" si="4"/>
        <v>6573.9840000000004</v>
      </c>
      <c r="G37" s="6"/>
      <c r="H37" s="8">
        <v>4000</v>
      </c>
      <c r="I37" s="6"/>
      <c r="J37" s="9" t="e">
        <f>H37/#REF!</f>
        <v>#REF!</v>
      </c>
      <c r="K37" s="6"/>
      <c r="L37" s="6"/>
      <c r="M37" s="7"/>
      <c r="N37" s="6"/>
      <c r="O37" s="8">
        <v>1620</v>
      </c>
      <c r="P37" s="6"/>
      <c r="Q37" s="9" t="e">
        <f>O37/#REF!</f>
        <v>#REF!</v>
      </c>
      <c r="R37" s="6"/>
      <c r="S37" s="7">
        <f t="shared" si="5"/>
        <v>135</v>
      </c>
      <c r="T37" s="169">
        <v>1620</v>
      </c>
      <c r="U37" s="8">
        <f>(5300.39/10)*12</f>
        <v>6360.4679999999998</v>
      </c>
      <c r="V37" s="227" t="s">
        <v>256</v>
      </c>
      <c r="W37" s="6"/>
      <c r="X37" s="8">
        <v>5000</v>
      </c>
      <c r="Y37" s="6"/>
      <c r="Z37" s="6"/>
      <c r="AA37" s="7">
        <f>X37/12</f>
        <v>416.66666666666669</v>
      </c>
      <c r="AB37" s="4" t="s">
        <v>282</v>
      </c>
      <c r="AC37" s="229">
        <v>1284</v>
      </c>
    </row>
    <row r="38" spans="1:29" s="4" customFormat="1" ht="15.75" outlineLevel="2" x14ac:dyDescent="0.25">
      <c r="A38" s="30"/>
      <c r="B38" s="5"/>
      <c r="C38" s="6"/>
      <c r="D38" s="6"/>
      <c r="E38" s="7"/>
      <c r="F38" s="7"/>
      <c r="G38" s="6"/>
      <c r="H38" s="8"/>
      <c r="I38" s="6"/>
      <c r="J38" s="9"/>
      <c r="K38" s="6"/>
      <c r="L38" s="6"/>
      <c r="M38" s="7"/>
      <c r="N38" s="6"/>
      <c r="O38" s="8"/>
      <c r="P38" s="6"/>
      <c r="Q38" s="9"/>
      <c r="R38" s="6"/>
      <c r="S38" s="7"/>
      <c r="T38" s="169"/>
      <c r="U38" s="8"/>
      <c r="V38" s="227"/>
      <c r="W38" s="6"/>
      <c r="X38" s="8"/>
      <c r="Y38" s="6"/>
      <c r="Z38" s="6"/>
      <c r="AA38" s="7"/>
      <c r="AB38" s="4" t="s">
        <v>283</v>
      </c>
      <c r="AC38" s="229">
        <v>1251</v>
      </c>
    </row>
    <row r="39" spans="1:29" s="4" customFormat="1" ht="15.75" outlineLevel="2" x14ac:dyDescent="0.25">
      <c r="A39" s="30"/>
      <c r="B39" s="5"/>
      <c r="C39" s="6"/>
      <c r="D39" s="6"/>
      <c r="E39" s="7"/>
      <c r="F39" s="7"/>
      <c r="G39" s="6"/>
      <c r="H39" s="8"/>
      <c r="I39" s="6"/>
      <c r="J39" s="9"/>
      <c r="K39" s="6"/>
      <c r="L39" s="6"/>
      <c r="M39" s="7"/>
      <c r="N39" s="6"/>
      <c r="O39" s="8"/>
      <c r="P39" s="6"/>
      <c r="Q39" s="9"/>
      <c r="R39" s="6"/>
      <c r="S39" s="7"/>
      <c r="T39" s="169"/>
      <c r="U39" s="8"/>
      <c r="V39" s="227"/>
      <c r="W39" s="6"/>
      <c r="X39" s="8"/>
      <c r="Y39" s="6"/>
      <c r="Z39" s="6"/>
      <c r="AA39" s="7"/>
      <c r="AB39" s="4" t="s">
        <v>284</v>
      </c>
      <c r="AC39" s="229">
        <v>1360</v>
      </c>
    </row>
    <row r="40" spans="1:29" s="4" customFormat="1" ht="15.75" outlineLevel="2" x14ac:dyDescent="0.25">
      <c r="A40" s="30"/>
      <c r="B40" s="5"/>
      <c r="C40" s="6"/>
      <c r="D40" s="6"/>
      <c r="E40" s="7"/>
      <c r="F40" s="7"/>
      <c r="G40" s="6"/>
      <c r="H40" s="8"/>
      <c r="I40" s="6"/>
      <c r="J40" s="9"/>
      <c r="K40" s="6"/>
      <c r="L40" s="6"/>
      <c r="M40" s="7"/>
      <c r="N40" s="6"/>
      <c r="O40" s="8"/>
      <c r="P40" s="6"/>
      <c r="Q40" s="9"/>
      <c r="R40" s="6"/>
      <c r="S40" s="7"/>
      <c r="T40" s="169"/>
      <c r="U40" s="8"/>
      <c r="V40" s="227"/>
      <c r="W40" s="6"/>
      <c r="X40" s="8"/>
      <c r="Y40" s="6"/>
      <c r="Z40" s="6"/>
      <c r="AA40" s="7"/>
      <c r="AB40" s="4" t="s">
        <v>285</v>
      </c>
      <c r="AC40" s="229">
        <v>300</v>
      </c>
    </row>
    <row r="41" spans="1:29" s="4" customFormat="1" ht="16.5" outlineLevel="2" thickBot="1" x14ac:dyDescent="0.3">
      <c r="A41" s="30"/>
      <c r="B41" s="5"/>
      <c r="C41" s="6"/>
      <c r="D41" s="6"/>
      <c r="E41" s="7"/>
      <c r="F41" s="7"/>
      <c r="G41" s="6"/>
      <c r="H41" s="8"/>
      <c r="I41" s="6"/>
      <c r="J41" s="9"/>
      <c r="K41" s="6"/>
      <c r="L41" s="6"/>
      <c r="M41" s="7"/>
      <c r="N41" s="6"/>
      <c r="O41" s="8"/>
      <c r="P41" s="6"/>
      <c r="Q41" s="9"/>
      <c r="R41" s="6"/>
      <c r="S41" s="7"/>
      <c r="T41" s="169"/>
      <c r="U41" s="8"/>
      <c r="V41" s="227"/>
      <c r="W41" s="6"/>
      <c r="X41" s="8"/>
      <c r="Y41" s="6"/>
      <c r="Z41" s="6"/>
      <c r="AA41" s="7"/>
      <c r="AB41" s="234" t="s">
        <v>286</v>
      </c>
      <c r="AC41" s="233">
        <f>SUM(AC37:AC40)</f>
        <v>4195</v>
      </c>
    </row>
    <row r="42" spans="1:29" s="4" customFormat="1" ht="16.5" outlineLevel="2" thickTop="1" x14ac:dyDescent="0.25">
      <c r="A42" s="30"/>
      <c r="B42" s="6"/>
      <c r="C42" s="61" t="s">
        <v>250</v>
      </c>
      <c r="D42" s="6"/>
      <c r="E42" s="7"/>
      <c r="F42" s="7"/>
      <c r="G42" s="6"/>
      <c r="H42" s="8"/>
      <c r="I42" s="6"/>
      <c r="J42" s="9"/>
      <c r="K42" s="6"/>
      <c r="L42" s="6"/>
      <c r="M42" s="7"/>
      <c r="N42" s="6"/>
      <c r="O42" s="8"/>
      <c r="P42" s="6"/>
      <c r="Q42" s="9"/>
      <c r="R42" s="6"/>
      <c r="S42" s="7"/>
      <c r="T42" s="169"/>
      <c r="U42" s="8"/>
      <c r="V42" s="18" t="s">
        <v>257</v>
      </c>
      <c r="W42" s="6"/>
      <c r="X42" s="8">
        <v>16794</v>
      </c>
      <c r="Y42" s="6"/>
      <c r="Z42" s="6"/>
      <c r="AA42" s="7">
        <f t="shared" ref="AA42:AA45" si="6">X42/12</f>
        <v>1399.5</v>
      </c>
      <c r="AB42" s="4" t="s">
        <v>281</v>
      </c>
      <c r="AC42" s="235">
        <v>16794</v>
      </c>
    </row>
    <row r="43" spans="1:29" s="4" customFormat="1" ht="16.5" outlineLevel="2" thickBot="1" x14ac:dyDescent="0.3">
      <c r="A43" s="30" t="s">
        <v>37</v>
      </c>
      <c r="B43" s="5"/>
      <c r="C43" s="6" t="s">
        <v>80</v>
      </c>
      <c r="D43" s="6"/>
      <c r="E43" s="7">
        <v>249.66</v>
      </c>
      <c r="F43" s="7">
        <f t="shared" si="4"/>
        <v>299.59199999999998</v>
      </c>
      <c r="G43" s="6"/>
      <c r="H43" s="8">
        <v>500</v>
      </c>
      <c r="I43" s="6"/>
      <c r="J43" s="9" t="e">
        <f>H43/#REF!</f>
        <v>#REF!</v>
      </c>
      <c r="K43" s="6"/>
      <c r="L43" s="6"/>
      <c r="M43" s="7"/>
      <c r="N43" s="6"/>
      <c r="O43" s="8">
        <v>500</v>
      </c>
      <c r="P43" s="6"/>
      <c r="Q43" s="9" t="e">
        <f>O43/#REF!</f>
        <v>#REF!</v>
      </c>
      <c r="R43" s="6"/>
      <c r="S43" s="7">
        <f t="shared" si="5"/>
        <v>41.666666666666664</v>
      </c>
      <c r="T43" s="169">
        <v>500</v>
      </c>
      <c r="U43" s="8">
        <f>(628.7/10)*12</f>
        <v>754.44</v>
      </c>
      <c r="V43" s="227" t="s">
        <v>252</v>
      </c>
      <c r="W43" s="6"/>
      <c r="X43" s="8">
        <v>1000</v>
      </c>
      <c r="Y43" s="6"/>
      <c r="Z43" s="6"/>
      <c r="AA43" s="7">
        <f t="shared" si="6"/>
        <v>83.333333333333329</v>
      </c>
      <c r="AB43" s="234" t="s">
        <v>287</v>
      </c>
      <c r="AC43" s="233">
        <v>600</v>
      </c>
    </row>
    <row r="44" spans="1:29" s="4" customFormat="1" ht="16.5" outlineLevel="2" thickTop="1" x14ac:dyDescent="0.25">
      <c r="A44" s="30" t="s">
        <v>85</v>
      </c>
      <c r="C44" s="60" t="s">
        <v>85</v>
      </c>
      <c r="D44" s="6"/>
      <c r="E44" s="7"/>
      <c r="F44" s="7"/>
      <c r="G44" s="6"/>
      <c r="H44" s="8"/>
      <c r="I44" s="6"/>
      <c r="J44" s="14"/>
      <c r="K44" s="6"/>
      <c r="L44" s="6"/>
      <c r="M44" s="7"/>
      <c r="N44" s="6"/>
      <c r="O44" s="8"/>
      <c r="P44" s="6"/>
      <c r="Q44" s="14"/>
      <c r="R44" s="6"/>
      <c r="S44" s="7">
        <f>O44/12</f>
        <v>0</v>
      </c>
      <c r="T44" s="172"/>
      <c r="V44" s="7"/>
      <c r="W44" s="6"/>
      <c r="X44" s="8"/>
      <c r="Y44" s="6"/>
      <c r="Z44" s="6"/>
      <c r="AA44" s="7">
        <f t="shared" si="6"/>
        <v>0</v>
      </c>
      <c r="AC44" s="229"/>
    </row>
    <row r="45" spans="1:29" s="4" customFormat="1" ht="16.5" outlineLevel="2" thickBot="1" x14ac:dyDescent="0.3">
      <c r="A45" s="30" t="s">
        <v>85</v>
      </c>
      <c r="B45" s="5"/>
      <c r="C45" s="61" t="s">
        <v>86</v>
      </c>
      <c r="D45" s="6"/>
      <c r="E45" s="7">
        <v>398.18</v>
      </c>
      <c r="F45" s="7">
        <f>(E45/10)*12</f>
        <v>477.81599999999997</v>
      </c>
      <c r="G45" s="6"/>
      <c r="H45" s="8">
        <v>200</v>
      </c>
      <c r="I45" s="6"/>
      <c r="J45" s="9" t="e">
        <f>H45/#REF!</f>
        <v>#REF!</v>
      </c>
      <c r="K45" s="6"/>
      <c r="L45" s="6"/>
      <c r="M45" s="7"/>
      <c r="N45" s="6"/>
      <c r="O45" s="8">
        <v>500</v>
      </c>
      <c r="P45" s="6"/>
      <c r="Q45" s="9" t="e">
        <f>O45/#REF!</f>
        <v>#REF!</v>
      </c>
      <c r="R45" s="6"/>
      <c r="S45" s="7">
        <f>O45/12</f>
        <v>41.666666666666664</v>
      </c>
      <c r="T45" s="169">
        <v>500</v>
      </c>
      <c r="U45" s="8">
        <f>(593.7/10)*12</f>
        <v>712.44</v>
      </c>
      <c r="V45" s="225" t="s">
        <v>258</v>
      </c>
      <c r="W45" s="6"/>
      <c r="X45" s="8">
        <v>600</v>
      </c>
      <c r="Y45" s="6"/>
      <c r="Z45" s="6"/>
      <c r="AA45" s="7">
        <f t="shared" si="6"/>
        <v>50</v>
      </c>
      <c r="AB45" s="234" t="s">
        <v>288</v>
      </c>
      <c r="AC45" s="233">
        <v>600</v>
      </c>
    </row>
    <row r="46" spans="1:29" s="4" customFormat="1" ht="16.5" outlineLevel="2" thickTop="1" x14ac:dyDescent="0.25">
      <c r="A46" s="30"/>
      <c r="B46" s="5"/>
      <c r="C46" s="61"/>
      <c r="D46" s="6"/>
      <c r="E46" s="7"/>
      <c r="F46" s="7"/>
      <c r="G46" s="6"/>
      <c r="H46" s="8"/>
      <c r="I46" s="6"/>
      <c r="J46" s="9"/>
      <c r="K46" s="6"/>
      <c r="L46" s="6"/>
      <c r="M46" s="7"/>
      <c r="N46" s="6"/>
      <c r="O46" s="8"/>
      <c r="P46" s="6"/>
      <c r="Q46" s="9"/>
      <c r="R46" s="6"/>
      <c r="S46" s="7"/>
      <c r="T46" s="169"/>
      <c r="U46" s="8"/>
      <c r="V46" s="225"/>
      <c r="W46" s="6"/>
      <c r="X46" s="8"/>
      <c r="Y46" s="6"/>
      <c r="Z46" s="6"/>
      <c r="AA46" s="7"/>
      <c r="AB46" s="242"/>
      <c r="AC46" s="243"/>
    </row>
    <row r="47" spans="1:29" x14ac:dyDescent="0.2">
      <c r="C47" s="159"/>
      <c r="H47" s="1"/>
      <c r="O47" s="156"/>
      <c r="X47" s="93"/>
    </row>
    <row r="50" spans="3:3" x14ac:dyDescent="0.2">
      <c r="C50" s="197"/>
    </row>
    <row r="52" spans="3:3" x14ac:dyDescent="0.2">
      <c r="C52" s="197"/>
    </row>
  </sheetData>
  <printOptions horizontalCentered="1" gridLines="1"/>
  <pageMargins left="0.25" right="0.25" top="0.75" bottom="0.75" header="0.3" footer="0.3"/>
  <pageSetup scale="60" fitToHeight="0" orientation="portrait" r:id="rId1"/>
  <headerFooter scaleWithDoc="0">
    <oddFooter>&amp;L&amp;"Arial,Bold"&amp;14&amp;F &amp;D&amp;R&amp;"Arial,Bold"&amp;12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2</xdr:col>
                <xdr:colOff>390525</xdr:colOff>
                <xdr:row>1</xdr:row>
                <xdr:rowOff>228600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2</xdr:col>
                <xdr:colOff>390525</xdr:colOff>
                <xdr:row>1</xdr:row>
                <xdr:rowOff>228600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24"/>
  <sheetViews>
    <sheetView zoomScaleNormal="100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F19" sqref="F19"/>
    </sheetView>
  </sheetViews>
  <sheetFormatPr defaultColWidth="9.140625" defaultRowHeight="15" outlineLevelRow="2" x14ac:dyDescent="0.2"/>
  <cols>
    <col min="1" max="1" width="2.28515625" style="2" hidden="1" customWidth="1"/>
    <col min="2" max="2" width="13.7109375" style="2" hidden="1" customWidth="1"/>
    <col min="3" max="3" width="12.42578125" style="1" customWidth="1"/>
    <col min="4" max="4" width="12.7109375" style="232" bestFit="1" customWidth="1"/>
    <col min="5" max="5" width="11.5703125" style="1" bestFit="1" customWidth="1"/>
    <col min="6" max="16384" width="9.140625" style="1"/>
  </cols>
  <sheetData>
    <row r="1" spans="1:5" s="4" customFormat="1" ht="15.75" thickTop="1" x14ac:dyDescent="0.25">
      <c r="A1" s="132"/>
      <c r="B1" s="135" t="s">
        <v>58</v>
      </c>
      <c r="D1" s="229"/>
    </row>
    <row r="2" spans="1:5" s="90" customFormat="1" ht="45.75" thickBot="1" x14ac:dyDescent="0.3">
      <c r="A2" s="138"/>
      <c r="B2" s="142" t="s">
        <v>195</v>
      </c>
      <c r="D2" s="230"/>
    </row>
    <row r="3" spans="1:5" s="4" customFormat="1" ht="15.75" outlineLevel="2" thickTop="1" x14ac:dyDescent="0.2">
      <c r="A3" s="6"/>
      <c r="B3" s="7"/>
      <c r="C3" s="242"/>
      <c r="D3" s="243"/>
    </row>
    <row r="4" spans="1:5" s="4" customFormat="1" ht="15.75" outlineLevel="2" x14ac:dyDescent="0.25">
      <c r="A4" s="6"/>
      <c r="B4" s="7" t="e">
        <f>#REF!/12</f>
        <v>#REF!</v>
      </c>
      <c r="C4" s="13" t="s">
        <v>306</v>
      </c>
      <c r="D4" s="229"/>
    </row>
    <row r="5" spans="1:5" s="4" customFormat="1" ht="15.75" outlineLevel="2" x14ac:dyDescent="0.25">
      <c r="A5" s="6"/>
      <c r="B5" s="7" t="e">
        <f>#REF!/12</f>
        <v>#REF!</v>
      </c>
      <c r="D5" s="13" t="s">
        <v>289</v>
      </c>
      <c r="E5" s="229"/>
    </row>
    <row r="6" spans="1:5" s="4" customFormat="1" outlineLevel="1" x14ac:dyDescent="0.2">
      <c r="A6" s="24"/>
      <c r="B6" s="25" t="e">
        <f>SUBTOTAL(9,B4:B5)</f>
        <v>#REF!</v>
      </c>
      <c r="D6" s="4" t="s">
        <v>290</v>
      </c>
      <c r="E6" s="229"/>
    </row>
    <row r="7" spans="1:5" s="4" customFormat="1" ht="15.75" outlineLevel="1" x14ac:dyDescent="0.25">
      <c r="A7" s="42"/>
      <c r="B7" s="40" t="e">
        <f>SUBTOTAL(9,B3:B6)</f>
        <v>#REF!</v>
      </c>
      <c r="D7" s="13" t="s">
        <v>291</v>
      </c>
      <c r="E7" s="229"/>
    </row>
    <row r="8" spans="1:5" s="4" customFormat="1" outlineLevel="1" x14ac:dyDescent="0.2">
      <c r="A8" s="6"/>
      <c r="B8" s="7"/>
      <c r="D8" s="236" t="s">
        <v>292</v>
      </c>
      <c r="E8" s="229"/>
    </row>
    <row r="9" spans="1:5" s="4" customFormat="1" ht="15.75" outlineLevel="2" x14ac:dyDescent="0.25">
      <c r="A9" s="6"/>
      <c r="B9" s="7"/>
      <c r="D9" s="13" t="s">
        <v>293</v>
      </c>
      <c r="E9" s="229"/>
    </row>
    <row r="10" spans="1:5" s="4" customFormat="1" outlineLevel="2" x14ac:dyDescent="0.2">
      <c r="A10" s="6"/>
      <c r="B10" s="7" t="e">
        <f>#REF!/12</f>
        <v>#REF!</v>
      </c>
      <c r="D10" s="4" t="s">
        <v>294</v>
      </c>
      <c r="E10" s="229"/>
    </row>
    <row r="11" spans="1:5" s="4" customFormat="1" ht="15.75" outlineLevel="1" x14ac:dyDescent="0.25">
      <c r="A11" s="6"/>
      <c r="B11" s="7" t="e">
        <f>#REF!/12</f>
        <v>#REF!</v>
      </c>
      <c r="D11" s="13" t="s">
        <v>295</v>
      </c>
      <c r="E11" s="229"/>
    </row>
    <row r="12" spans="1:5" s="4" customFormat="1" ht="15.75" outlineLevel="2" thickBot="1" x14ac:dyDescent="0.25">
      <c r="A12" s="6"/>
      <c r="B12" s="7" t="e">
        <f>#REF!/12</f>
        <v>#REF!</v>
      </c>
      <c r="D12" s="4" t="s">
        <v>296</v>
      </c>
      <c r="E12" s="229"/>
    </row>
    <row r="13" spans="1:5" s="122" customFormat="1" ht="18.75" thickBot="1" x14ac:dyDescent="0.3">
      <c r="A13" s="45"/>
      <c r="B13" s="46" t="e">
        <f>SUBTOTAL(9,B3:B5)</f>
        <v>#REF!</v>
      </c>
      <c r="D13" s="13" t="s">
        <v>297</v>
      </c>
      <c r="E13" s="231"/>
    </row>
    <row r="14" spans="1:5" s="4" customFormat="1" x14ac:dyDescent="0.2">
      <c r="A14" s="6"/>
      <c r="B14" s="7"/>
      <c r="D14" s="236" t="s">
        <v>298</v>
      </c>
      <c r="E14" s="229"/>
    </row>
    <row r="15" spans="1:5" x14ac:dyDescent="0.2">
      <c r="D15" s="236" t="s">
        <v>299</v>
      </c>
      <c r="E15" s="232"/>
    </row>
    <row r="16" spans="1:5" x14ac:dyDescent="0.2">
      <c r="D16" s="237" t="s">
        <v>300</v>
      </c>
      <c r="E16" s="232"/>
    </row>
    <row r="17" spans="4:5" x14ac:dyDescent="0.2">
      <c r="D17" s="1" t="s">
        <v>305</v>
      </c>
      <c r="E17" s="232"/>
    </row>
    <row r="18" spans="4:5" x14ac:dyDescent="0.2">
      <c r="D18" s="237" t="s">
        <v>301</v>
      </c>
      <c r="E18" s="232"/>
    </row>
    <row r="19" spans="4:5" x14ac:dyDescent="0.2">
      <c r="D19" s="237" t="s">
        <v>307</v>
      </c>
      <c r="E19" s="232">
        <v>350</v>
      </c>
    </row>
    <row r="20" spans="4:5" x14ac:dyDescent="0.2">
      <c r="D20" s="1" t="s">
        <v>302</v>
      </c>
      <c r="E20" s="232">
        <v>800</v>
      </c>
    </row>
    <row r="21" spans="4:5" x14ac:dyDescent="0.2">
      <c r="D21" s="1" t="s">
        <v>303</v>
      </c>
      <c r="E21" s="232">
        <v>150</v>
      </c>
    </row>
    <row r="22" spans="4:5" x14ac:dyDescent="0.2">
      <c r="D22" s="1" t="s">
        <v>304</v>
      </c>
      <c r="E22" s="232">
        <v>3200</v>
      </c>
    </row>
    <row r="23" spans="4:5" ht="15.75" thickBot="1" x14ac:dyDescent="0.25">
      <c r="D23" s="1"/>
      <c r="E23" s="238">
        <f>SUM(E19:E22)</f>
        <v>4500</v>
      </c>
    </row>
    <row r="24" spans="4:5" ht="15.75" thickTop="1" x14ac:dyDescent="0.2"/>
  </sheetData>
  <printOptions horizontalCentered="1" gridLines="1"/>
  <pageMargins left="0.25" right="0.25" top="0.75" bottom="0.75" header="0.3" footer="0.3"/>
  <pageSetup scale="60" fitToHeight="0" orientation="portrait" r:id="rId1"/>
  <headerFooter scaleWithDoc="0">
    <oddFooter>&amp;L&amp;"Arial,Bold"&amp;14&amp;F &amp;D&amp;R&amp;"Arial,Bold"&amp;12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3</xdr:col>
                <xdr:colOff>85725</xdr:colOff>
                <xdr:row>1</xdr:row>
                <xdr:rowOff>228600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3</xdr:col>
                <xdr:colOff>85725</xdr:colOff>
                <xdr:row>1</xdr:row>
                <xdr:rowOff>228600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Budget</vt:lpstr>
      <vt:lpstr>Payroll Calculations</vt:lpstr>
      <vt:lpstr>Justification</vt:lpstr>
      <vt:lpstr>Safer Grant Info</vt:lpstr>
      <vt:lpstr>Sheet1</vt:lpstr>
      <vt:lpstr>Budget!Print_Area</vt:lpstr>
      <vt:lpstr>'Payroll Calculations'!Print_Area</vt:lpstr>
      <vt:lpstr>Budget!Print_Titles</vt:lpstr>
      <vt:lpstr>Justification!Print_Titles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Deel</dc:creator>
  <cp:lastModifiedBy>Paula Deel</cp:lastModifiedBy>
  <cp:lastPrinted>2026-05-16T04:27:23Z</cp:lastPrinted>
  <dcterms:created xsi:type="dcterms:W3CDTF">2021-06-07T05:56:44Z</dcterms:created>
  <dcterms:modified xsi:type="dcterms:W3CDTF">2026-06-10T22:46:47Z</dcterms:modified>
</cp:coreProperties>
</file>